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autoCompressPictures="0"/>
  <xr:revisionPtr revIDLastSave="0" documentId="13_ncr:1_{355393A9-8E6A-4D4E-914B-90C40D7F836D}" xr6:coauthVersionLast="47" xr6:coauthVersionMax="47" xr10:uidLastSave="{00000000-0000-0000-0000-000000000000}"/>
  <bookViews>
    <workbookView xWindow="-108" yWindow="-108" windowWidth="23256" windowHeight="12576" tabRatio="690" xr2:uid="{00000000-000D-0000-FFFF-FFFF00000000}"/>
  </bookViews>
  <sheets>
    <sheet name="January" sheetId="1" r:id="rId1"/>
    <sheet name="February" sheetId="6" r:id="rId2"/>
    <sheet name="March" sheetId="7" r:id="rId3"/>
    <sheet name="April" sheetId="8" r:id="rId4"/>
    <sheet name="May" sheetId="9" r:id="rId5"/>
    <sheet name="June" sheetId="10" r:id="rId6"/>
    <sheet name="July" sheetId="11" r:id="rId7"/>
    <sheet name="August" sheetId="12" r:id="rId8"/>
    <sheet name="September" sheetId="13" r:id="rId9"/>
    <sheet name="October" sheetId="14" r:id="rId10"/>
    <sheet name="November" sheetId="15" r:id="rId11"/>
    <sheet name="December" sheetId="16" r:id="rId12"/>
  </sheets>
  <definedNames>
    <definedName name="AprSun1">DATE(CalendarYear,4,1)-WEEKDAY(DATE(CalendarYear,4,1))+1</definedName>
    <definedName name="AssignmentDays" localSheetId="3">April!$P$4:$P$33</definedName>
    <definedName name="AssignmentDays" localSheetId="7">August!$P$4:$P$33</definedName>
    <definedName name="AssignmentDays" localSheetId="11">December!$P$4:$P$33</definedName>
    <definedName name="AssignmentDays" localSheetId="1">February!$P$4:$P$33</definedName>
    <definedName name="AssignmentDays" localSheetId="6">July!$P$4:$P$33</definedName>
    <definedName name="AssignmentDays" localSheetId="5">June!$P$4:$P$33</definedName>
    <definedName name="AssignmentDays" localSheetId="2">March!$P$4:$P$33</definedName>
    <definedName name="AssignmentDays" localSheetId="4">May!$P$4:$P$33</definedName>
    <definedName name="AssignmentDays" localSheetId="10">November!$P$4:$P$33</definedName>
    <definedName name="AssignmentDays" localSheetId="9">October!$P$4:$P$33</definedName>
    <definedName name="AssignmentDays" localSheetId="8">September!$P$4:$P$33</definedName>
    <definedName name="AssignmentDays">January!$P$4:$P$33</definedName>
    <definedName name="AugSun1">DATE(CalendarYear,8,1)-WEEKDAY(DATE(CalendarYear,8,1))+1</definedName>
    <definedName name="CalendarYear">January!$R$2</definedName>
    <definedName name="DecSun1">DATE(CalendarYear,12,1)-WEEKDAY(DATE(CalendarYear,12,1))+1</definedName>
    <definedName name="FebSun1">DATE(CalendarYear,2,1)-WEEKDAY(DATE(CalendarYear,2,1))+1</definedName>
    <definedName name="ImportantDatesTable" localSheetId="3">April!$P$4:$Q$8</definedName>
    <definedName name="ImportantDatesTable" localSheetId="7">August!$P$4:$Q$8</definedName>
    <definedName name="ImportantDatesTable" localSheetId="11">December!$P$4:$Q$8</definedName>
    <definedName name="ImportantDatesTable" localSheetId="1">February!$P$4:$Q$8</definedName>
    <definedName name="ImportantDatesTable" localSheetId="6">July!$P$4:$Q$8</definedName>
    <definedName name="ImportantDatesTable" localSheetId="5">June!$P$4:$Q$8</definedName>
    <definedName name="ImportantDatesTable" localSheetId="2">March!$P$4:$Q$8</definedName>
    <definedName name="ImportantDatesTable" localSheetId="4">May!$P$4:$Q$8</definedName>
    <definedName name="ImportantDatesTable" localSheetId="10">November!$P$4:$Q$8</definedName>
    <definedName name="ImportantDatesTable" localSheetId="9">October!$P$4:$Q$8</definedName>
    <definedName name="ImportantDatesTable" localSheetId="8">September!$P$4:$Q$8</definedName>
    <definedName name="ImportantDatesTable">January!$P$4:$Q$8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3">April!$A$1:$R$33</definedName>
    <definedName name="_xlnm.Print_Area" localSheetId="7">August!$A$1:$R$33</definedName>
    <definedName name="_xlnm.Print_Area" localSheetId="11">December!$A$1:$R$33</definedName>
    <definedName name="_xlnm.Print_Area" localSheetId="1">February!$A$1:$R$33</definedName>
    <definedName name="_xlnm.Print_Area" localSheetId="0">January!$A$1:$R$33</definedName>
    <definedName name="_xlnm.Print_Area" localSheetId="6">July!$A$1:$R$33</definedName>
    <definedName name="_xlnm.Print_Area" localSheetId="5">June!$A$1:$R$33</definedName>
    <definedName name="_xlnm.Print_Area" localSheetId="2">March!$A$1:$R$33</definedName>
    <definedName name="_xlnm.Print_Area" localSheetId="4">May!$A$1:$R$33</definedName>
    <definedName name="_xlnm.Print_Area" localSheetId="10">November!$A$1:$R$33</definedName>
    <definedName name="_xlnm.Print_Area" localSheetId="9">October!$A$1:$R$33</definedName>
    <definedName name="_xlnm.Print_Area" localSheetId="8">September!$A$1:$R$33</definedName>
    <definedName name="SepSun1">DATE(CalendarYear,9,1)-WEEKDAY(DATE(CalendarYear,9,1))+1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9" i="8" l="1"/>
  <c r="H9" i="8"/>
  <c r="G9" i="8"/>
  <c r="F9" i="8"/>
  <c r="E9" i="8"/>
  <c r="D9" i="8"/>
  <c r="C9" i="8"/>
  <c r="I8" i="8"/>
  <c r="H8" i="8"/>
  <c r="G8" i="8"/>
  <c r="F8" i="8"/>
  <c r="E8" i="8"/>
  <c r="D8" i="8"/>
  <c r="C8" i="8"/>
  <c r="I7" i="8"/>
  <c r="H7" i="8"/>
  <c r="G7" i="8"/>
  <c r="F7" i="8"/>
  <c r="E7" i="8"/>
  <c r="D7" i="8"/>
  <c r="C7" i="8"/>
  <c r="I6" i="8"/>
  <c r="H6" i="8"/>
  <c r="G6" i="8"/>
  <c r="F6" i="8"/>
  <c r="E6" i="8"/>
  <c r="D6" i="8"/>
  <c r="C6" i="8"/>
  <c r="I5" i="8"/>
  <c r="H5" i="8"/>
  <c r="G5" i="8"/>
  <c r="F5" i="8"/>
  <c r="E5" i="8"/>
  <c r="D5" i="8"/>
  <c r="C5" i="8"/>
  <c r="I4" i="8"/>
  <c r="H4" i="8"/>
  <c r="G4" i="8"/>
  <c r="F4" i="8"/>
  <c r="E4" i="8"/>
  <c r="D4" i="8"/>
  <c r="C4" i="8"/>
  <c r="I9" i="16"/>
  <c r="H9" i="16"/>
  <c r="G9" i="16"/>
  <c r="F9" i="16"/>
  <c r="E9" i="16"/>
  <c r="D9" i="16"/>
  <c r="C9" i="16"/>
  <c r="I8" i="16"/>
  <c r="H8" i="16"/>
  <c r="G8" i="16"/>
  <c r="F8" i="16"/>
  <c r="E8" i="16"/>
  <c r="D8" i="16"/>
  <c r="C8" i="16"/>
  <c r="I7" i="16"/>
  <c r="H7" i="16"/>
  <c r="G7" i="16"/>
  <c r="F7" i="16"/>
  <c r="E7" i="16"/>
  <c r="D7" i="16"/>
  <c r="C7" i="16"/>
  <c r="I6" i="16"/>
  <c r="H6" i="16"/>
  <c r="G6" i="16"/>
  <c r="F6" i="16"/>
  <c r="E6" i="16"/>
  <c r="D6" i="16"/>
  <c r="C6" i="16"/>
  <c r="I5" i="16"/>
  <c r="H5" i="16"/>
  <c r="G5" i="16"/>
  <c r="F5" i="16"/>
  <c r="E5" i="16"/>
  <c r="D5" i="16"/>
  <c r="C5" i="16"/>
  <c r="I4" i="16"/>
  <c r="H4" i="16"/>
  <c r="G4" i="16"/>
  <c r="F4" i="16"/>
  <c r="E4" i="16"/>
  <c r="D4" i="16"/>
  <c r="C4" i="16"/>
  <c r="I9" i="15"/>
  <c r="H9" i="15"/>
  <c r="G9" i="15"/>
  <c r="F9" i="15"/>
  <c r="E9" i="15"/>
  <c r="D9" i="15"/>
  <c r="C9" i="15"/>
  <c r="I8" i="15"/>
  <c r="H8" i="15"/>
  <c r="G8" i="15"/>
  <c r="F8" i="15"/>
  <c r="E8" i="15"/>
  <c r="D8" i="15"/>
  <c r="C8" i="15"/>
  <c r="I7" i="15"/>
  <c r="H7" i="15"/>
  <c r="G7" i="15"/>
  <c r="F7" i="15"/>
  <c r="E7" i="15"/>
  <c r="D7" i="15"/>
  <c r="C7" i="15"/>
  <c r="I6" i="15"/>
  <c r="H6" i="15"/>
  <c r="G6" i="15"/>
  <c r="F6" i="15"/>
  <c r="E6" i="15"/>
  <c r="D6" i="15"/>
  <c r="C6" i="15"/>
  <c r="I5" i="15"/>
  <c r="H5" i="15"/>
  <c r="G5" i="15"/>
  <c r="F5" i="15"/>
  <c r="E5" i="15"/>
  <c r="D5" i="15"/>
  <c r="C5" i="15"/>
  <c r="I4" i="15"/>
  <c r="H4" i="15"/>
  <c r="G4" i="15"/>
  <c r="F4" i="15"/>
  <c r="E4" i="15"/>
  <c r="D4" i="15"/>
  <c r="C4" i="15"/>
  <c r="I9" i="14"/>
  <c r="H9" i="14"/>
  <c r="G9" i="14"/>
  <c r="F9" i="14"/>
  <c r="E9" i="14"/>
  <c r="D9" i="14"/>
  <c r="C9" i="14"/>
  <c r="I8" i="14"/>
  <c r="H8" i="14"/>
  <c r="G8" i="14"/>
  <c r="F8" i="14"/>
  <c r="E8" i="14"/>
  <c r="D8" i="14"/>
  <c r="C8" i="14"/>
  <c r="I7" i="14"/>
  <c r="H7" i="14"/>
  <c r="G7" i="14"/>
  <c r="F7" i="14"/>
  <c r="E7" i="14"/>
  <c r="D7" i="14"/>
  <c r="C7" i="14"/>
  <c r="I6" i="14"/>
  <c r="H6" i="14"/>
  <c r="G6" i="14"/>
  <c r="F6" i="14"/>
  <c r="E6" i="14"/>
  <c r="D6" i="14"/>
  <c r="C6" i="14"/>
  <c r="I5" i="14"/>
  <c r="H5" i="14"/>
  <c r="G5" i="14"/>
  <c r="F5" i="14"/>
  <c r="E5" i="14"/>
  <c r="D5" i="14"/>
  <c r="C5" i="14"/>
  <c r="I4" i="14"/>
  <c r="H4" i="14"/>
  <c r="G4" i="14"/>
  <c r="F4" i="14"/>
  <c r="E4" i="14"/>
  <c r="D4" i="14"/>
  <c r="C4" i="14"/>
  <c r="I9" i="13"/>
  <c r="H9" i="13"/>
  <c r="G9" i="13"/>
  <c r="F9" i="13"/>
  <c r="E9" i="13"/>
  <c r="D9" i="13"/>
  <c r="C9" i="13"/>
  <c r="I8" i="13"/>
  <c r="H8" i="13"/>
  <c r="G8" i="13"/>
  <c r="F8" i="13"/>
  <c r="E8" i="13"/>
  <c r="D8" i="13"/>
  <c r="C8" i="13"/>
  <c r="I7" i="13"/>
  <c r="H7" i="13"/>
  <c r="G7" i="13"/>
  <c r="F7" i="13"/>
  <c r="E7" i="13"/>
  <c r="D7" i="13"/>
  <c r="C7" i="13"/>
  <c r="I6" i="13"/>
  <c r="H6" i="13"/>
  <c r="G6" i="13"/>
  <c r="F6" i="13"/>
  <c r="E6" i="13"/>
  <c r="D6" i="13"/>
  <c r="C6" i="13"/>
  <c r="I5" i="13"/>
  <c r="H5" i="13"/>
  <c r="G5" i="13"/>
  <c r="F5" i="13"/>
  <c r="E5" i="13"/>
  <c r="D5" i="13"/>
  <c r="C5" i="13"/>
  <c r="I4" i="13"/>
  <c r="H4" i="13"/>
  <c r="G4" i="13"/>
  <c r="F4" i="13"/>
  <c r="E4" i="13"/>
  <c r="D4" i="13"/>
  <c r="C4" i="13"/>
  <c r="I9" i="12"/>
  <c r="H9" i="12"/>
  <c r="G9" i="12"/>
  <c r="F9" i="12"/>
  <c r="E9" i="12"/>
  <c r="D9" i="12"/>
  <c r="C9" i="12"/>
  <c r="I8" i="12"/>
  <c r="H8" i="12"/>
  <c r="G8" i="12"/>
  <c r="F8" i="12"/>
  <c r="E8" i="12"/>
  <c r="D8" i="12"/>
  <c r="C8" i="12"/>
  <c r="I7" i="12"/>
  <c r="H7" i="12"/>
  <c r="G7" i="12"/>
  <c r="F7" i="12"/>
  <c r="E7" i="12"/>
  <c r="D7" i="12"/>
  <c r="C7" i="12"/>
  <c r="I6" i="12"/>
  <c r="H6" i="12"/>
  <c r="G6" i="12"/>
  <c r="F6" i="12"/>
  <c r="E6" i="12"/>
  <c r="D6" i="12"/>
  <c r="C6" i="12"/>
  <c r="I5" i="12"/>
  <c r="H5" i="12"/>
  <c r="G5" i="12"/>
  <c r="F5" i="12"/>
  <c r="E5" i="12"/>
  <c r="D5" i="12"/>
  <c r="C5" i="12"/>
  <c r="I4" i="12"/>
  <c r="H4" i="12"/>
  <c r="G4" i="12"/>
  <c r="F4" i="12"/>
  <c r="E4" i="12"/>
  <c r="D4" i="12"/>
  <c r="C4" i="12"/>
  <c r="I9" i="11"/>
  <c r="H9" i="11"/>
  <c r="G9" i="11"/>
  <c r="F9" i="11"/>
  <c r="E9" i="11"/>
  <c r="D9" i="11"/>
  <c r="C9" i="11"/>
  <c r="I8" i="11"/>
  <c r="H8" i="11"/>
  <c r="G8" i="11"/>
  <c r="F8" i="11"/>
  <c r="E8" i="11"/>
  <c r="D8" i="11"/>
  <c r="C8" i="11"/>
  <c r="I7" i="11"/>
  <c r="H7" i="11"/>
  <c r="G7" i="11"/>
  <c r="F7" i="11"/>
  <c r="E7" i="11"/>
  <c r="D7" i="11"/>
  <c r="C7" i="11"/>
  <c r="I6" i="11"/>
  <c r="H6" i="11"/>
  <c r="G6" i="11"/>
  <c r="F6" i="11"/>
  <c r="E6" i="11"/>
  <c r="D6" i="11"/>
  <c r="C6" i="11"/>
  <c r="I5" i="11"/>
  <c r="H5" i="11"/>
  <c r="G5" i="11"/>
  <c r="F5" i="11"/>
  <c r="E5" i="11"/>
  <c r="D5" i="11"/>
  <c r="C5" i="11"/>
  <c r="I4" i="11"/>
  <c r="H4" i="11"/>
  <c r="G4" i="11"/>
  <c r="F4" i="11"/>
  <c r="E4" i="11"/>
  <c r="D4" i="11"/>
  <c r="C4" i="11"/>
  <c r="I9" i="10"/>
  <c r="H9" i="10"/>
  <c r="G9" i="10"/>
  <c r="F9" i="10"/>
  <c r="E9" i="10"/>
  <c r="D9" i="10"/>
  <c r="C9" i="10"/>
  <c r="I8" i="10"/>
  <c r="H8" i="10"/>
  <c r="G8" i="10"/>
  <c r="F8" i="10"/>
  <c r="E8" i="10"/>
  <c r="D8" i="10"/>
  <c r="C8" i="10"/>
  <c r="I7" i="10"/>
  <c r="H7" i="10"/>
  <c r="G7" i="10"/>
  <c r="F7" i="10"/>
  <c r="E7" i="10"/>
  <c r="D7" i="10"/>
  <c r="C7" i="10"/>
  <c r="I6" i="10"/>
  <c r="H6" i="10"/>
  <c r="G6" i="10"/>
  <c r="F6" i="10"/>
  <c r="E6" i="10"/>
  <c r="D6" i="10"/>
  <c r="C6" i="10"/>
  <c r="I5" i="10"/>
  <c r="H5" i="10"/>
  <c r="G5" i="10"/>
  <c r="F5" i="10"/>
  <c r="E5" i="10"/>
  <c r="D5" i="10"/>
  <c r="C5" i="10"/>
  <c r="I4" i="10"/>
  <c r="H4" i="10"/>
  <c r="G4" i="10"/>
  <c r="F4" i="10"/>
  <c r="E4" i="10"/>
  <c r="D4" i="10"/>
  <c r="C4" i="10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  <c r="I6" i="9"/>
  <c r="H6" i="9"/>
  <c r="G6" i="9"/>
  <c r="F6" i="9"/>
  <c r="E6" i="9"/>
  <c r="D6" i="9"/>
  <c r="C6" i="9"/>
  <c r="I5" i="9"/>
  <c r="H5" i="9"/>
  <c r="G5" i="9"/>
  <c r="F5" i="9"/>
  <c r="E5" i="9"/>
  <c r="D5" i="9"/>
  <c r="C5" i="9"/>
  <c r="I4" i="9"/>
  <c r="H4" i="9"/>
  <c r="G4" i="9"/>
  <c r="F4" i="9"/>
  <c r="E4" i="9"/>
  <c r="D4" i="9"/>
  <c r="C4" i="9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I6" i="7"/>
  <c r="H6" i="7"/>
  <c r="G6" i="7"/>
  <c r="F6" i="7"/>
  <c r="E6" i="7"/>
  <c r="D6" i="7"/>
  <c r="C6" i="7"/>
  <c r="I5" i="7"/>
  <c r="H5" i="7"/>
  <c r="G5" i="7"/>
  <c r="F5" i="7"/>
  <c r="E5" i="7"/>
  <c r="D5" i="7"/>
  <c r="C5" i="7"/>
  <c r="I4" i="7"/>
  <c r="H4" i="7"/>
  <c r="G4" i="7"/>
  <c r="F4" i="7"/>
  <c r="E4" i="7"/>
  <c r="D4" i="7"/>
  <c r="C4" i="7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C5" i="6"/>
  <c r="I4" i="6"/>
  <c r="H4" i="6"/>
  <c r="G4" i="6"/>
  <c r="F4" i="6"/>
  <c r="E4" i="6"/>
  <c r="D4" i="6"/>
  <c r="C4" i="6"/>
  <c r="H4" i="1" l="1"/>
  <c r="H9" i="1" l="1"/>
  <c r="G9" i="1"/>
  <c r="F9" i="1"/>
  <c r="E9" i="1"/>
  <c r="D9" i="1"/>
  <c r="C9" i="1"/>
  <c r="H8" i="1"/>
  <c r="G8" i="1"/>
  <c r="F8" i="1"/>
  <c r="E8" i="1"/>
  <c r="D8" i="1"/>
  <c r="C8" i="1"/>
  <c r="H7" i="1"/>
  <c r="G7" i="1"/>
  <c r="F7" i="1"/>
  <c r="E7" i="1"/>
  <c r="D7" i="1"/>
  <c r="C7" i="1"/>
  <c r="H6" i="1"/>
  <c r="G6" i="1"/>
  <c r="F6" i="1"/>
  <c r="E6" i="1"/>
  <c r="D6" i="1"/>
  <c r="C6" i="1"/>
  <c r="H5" i="1"/>
  <c r="G5" i="1"/>
  <c r="F5" i="1"/>
  <c r="E5" i="1"/>
  <c r="D5" i="1"/>
  <c r="C5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<sst xmlns="http://schemas.openxmlformats.org/spreadsheetml/2006/main" count="300" uniqueCount="27">
  <si>
    <t>JANUARY</t>
  </si>
  <si>
    <t>ASSIGNMENTS/TASKS</t>
  </si>
  <si>
    <t>M</t>
  </si>
  <si>
    <t>T</t>
  </si>
  <si>
    <t>W</t>
  </si>
  <si>
    <t>F</t>
  </si>
  <si>
    <t>S</t>
  </si>
  <si>
    <t>MON</t>
  </si>
  <si>
    <t>TUES</t>
  </si>
  <si>
    <t>WED</t>
  </si>
  <si>
    <t>WEEKLY SCHEDULE</t>
  </si>
  <si>
    <t>THURS</t>
  </si>
  <si>
    <t>FRI</t>
  </si>
  <si>
    <t>SAT</t>
  </si>
  <si>
    <t>SUN</t>
  </si>
  <si>
    <t>NOTES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</si>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</sst>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24" x14ac:knownFonts="1"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color indexed="63"/>
      <name val="Arial"/>
      <family val="4"/>
      <scheme val="minor"/>
    </font>
    <font>
      <b/>
      <sz val="28"/>
      <color theme="1" tint="0.34998626667073579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color theme="0"/>
      <name val="Arial"/>
      <family val="2"/>
      <scheme val="minor"/>
    </font>
    <font>
      <b/>
      <sz val="8.5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8.5"/>
      <color theme="1"/>
      <name val="Arial"/>
      <family val="2"/>
      <scheme val="major"/>
    </font>
    <font>
      <sz val="10.5"/>
      <color theme="1" tint="0.249977111117893"/>
      <name val="Arial"/>
      <family val="2"/>
      <scheme val="minor"/>
    </font>
    <font>
      <b/>
      <sz val="10.5"/>
      <name val="Arial"/>
      <family val="2"/>
      <scheme val="minor"/>
    </font>
    <font>
      <b/>
      <sz val="24"/>
      <color rgb="FFB70D50"/>
      <name val="Arial"/>
      <family val="2"/>
      <scheme val="major"/>
    </font>
    <font>
      <b/>
      <sz val="17"/>
      <color rgb="FFB70D50"/>
      <name val="Arial"/>
      <family val="2"/>
      <scheme val="major"/>
    </font>
    <font>
      <b/>
      <sz val="12"/>
      <color rgb="FFB70D50"/>
      <name val="Arial"/>
      <family val="2"/>
      <scheme val="major"/>
    </font>
    <font>
      <b/>
      <sz val="12"/>
      <color rgb="FFB70D50"/>
      <name val="Arial"/>
      <family val="2"/>
      <scheme val="minor"/>
    </font>
    <font>
      <b/>
      <sz val="17"/>
      <color rgb="FFB70D50"/>
      <name val="Arial"/>
      <family val="2"/>
      <scheme val="minor"/>
    </font>
    <font>
      <b/>
      <sz val="10"/>
      <color rgb="FFB70D50"/>
      <name val="Arial"/>
      <family val="2"/>
      <scheme val="minor"/>
    </font>
    <font>
      <sz val="10"/>
      <color rgb="FFB70D50"/>
      <name val="Arial"/>
      <family val="2"/>
      <scheme val="minor"/>
    </font>
    <font>
      <b/>
      <sz val="10.5"/>
      <color rgb="FFB70D50"/>
      <name val="Arial"/>
      <family val="2"/>
      <scheme val="minor"/>
    </font>
    <font>
      <sz val="12"/>
      <color rgb="FFB70D50"/>
      <name val="Arial"/>
      <family val="2"/>
      <scheme val="minor"/>
    </font>
    <font>
      <sz val="10"/>
      <name val="Arial"/>
      <family val="2"/>
      <scheme val="major"/>
    </font>
    <font>
      <sz val="10.5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0D50"/>
        <bgColor indexed="64"/>
      </patternFill>
    </fill>
  </fills>
  <borders count="6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/>
      </top>
      <bottom style="thin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 style="thin">
        <color theme="4" tint="0.79995117038483843"/>
      </bottom>
      <diagonal/>
    </border>
    <border>
      <left style="thin">
        <color theme="0"/>
      </left>
      <right/>
      <top/>
      <bottom style="thin">
        <color theme="4" tint="0.79995117038483843"/>
      </bottom>
      <diagonal/>
    </border>
    <border>
      <left/>
      <right style="thin">
        <color theme="0"/>
      </right>
      <top/>
      <bottom style="thin">
        <color theme="4" tint="0.79995117038483843"/>
      </bottom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/>
      <diagonal/>
    </border>
    <border>
      <left/>
      <right/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 tint="0.79992065187536243"/>
      </right>
      <top/>
      <bottom style="thin">
        <color theme="0"/>
      </bottom>
      <diagonal/>
    </border>
    <border>
      <left/>
      <right style="thin">
        <color theme="4" tint="0.79992065187536243"/>
      </right>
      <top style="thin">
        <color theme="0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2065187536243"/>
      </left>
      <right/>
      <top/>
      <bottom style="thin">
        <color theme="4" tint="0.79989013336588644"/>
      </bottom>
      <diagonal/>
    </border>
    <border>
      <left/>
      <right/>
      <top/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 style="thin">
        <color theme="4" tint="0.79989013336588644"/>
      </bottom>
      <diagonal/>
    </border>
    <border>
      <left style="thin">
        <color theme="4" tint="0.79992065187536243"/>
      </left>
      <right/>
      <top style="thin">
        <color theme="4" tint="0.79989013336588644"/>
      </top>
      <bottom/>
      <diagonal/>
    </border>
    <border>
      <left/>
      <right/>
      <top style="thin">
        <color theme="4" tint="0.79989013336588644"/>
      </top>
      <bottom/>
      <diagonal/>
    </border>
    <border>
      <left/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79992065187536243"/>
      </left>
      <right/>
      <top style="thin">
        <color theme="4" tint="0.79998168889431442"/>
      </top>
      <bottom/>
      <diagonal/>
    </border>
    <border>
      <left/>
      <right/>
      <top style="thin">
        <color theme="4" tint="0.79989013336588644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89013336588644"/>
      </top>
      <bottom style="thin">
        <color theme="5"/>
      </bottom>
      <diagonal/>
    </border>
    <border>
      <left style="thin">
        <color theme="4" tint="0.79998168889431442"/>
      </left>
      <right/>
      <top style="thin">
        <color theme="4" tint="0.79995117038483843"/>
      </top>
      <bottom/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2065187536243"/>
      </right>
      <top style="thin">
        <color theme="4" tint="0.79995117038483843"/>
      </top>
      <bottom/>
      <diagonal/>
    </border>
    <border>
      <left style="thin">
        <color theme="4" tint="0.79998168889431442"/>
      </left>
      <right/>
      <top/>
      <bottom style="thin">
        <color theme="4" tint="0.79995117038483843"/>
      </bottom>
      <diagonal/>
    </border>
    <border>
      <left/>
      <right style="thin">
        <color theme="4" tint="0.79985961485641044"/>
      </right>
      <top style="thin">
        <color theme="4" tint="0.79985961485641044"/>
      </top>
      <bottom/>
      <diagonal/>
    </border>
    <border>
      <left/>
      <right style="thin">
        <color theme="4" tint="0.79985961485641044"/>
      </right>
      <top/>
      <bottom style="thin">
        <color theme="4" tint="0.7998901333658864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4" tint="0.79992065187536243"/>
      </left>
      <right/>
      <top/>
      <bottom style="thin">
        <color theme="4" tint="0.79998168889431442"/>
      </bottom>
      <diagonal/>
    </border>
    <border>
      <left style="thin">
        <color theme="4" tint="0.79992065187536243"/>
      </left>
      <right/>
      <top/>
      <bottom style="thin">
        <color theme="4" tint="0.79995117038483843"/>
      </bottom>
      <diagonal/>
    </border>
    <border>
      <left/>
      <right style="thin">
        <color theme="4" tint="0.79995117038483843"/>
      </right>
      <top/>
      <bottom style="thin">
        <color theme="5"/>
      </bottom>
      <diagonal/>
    </border>
    <border>
      <left/>
      <right/>
      <top style="thin">
        <color theme="5"/>
      </top>
      <bottom style="thin">
        <color theme="4" tint="0.79989013336588644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4" tint="0.79989013336588644"/>
      </bottom>
      <diagonal/>
    </border>
    <border>
      <left style="thin">
        <color theme="4" tint="0.79989013336588644"/>
      </left>
      <right/>
      <top style="thin">
        <color theme="4" tint="0.79989013336588644"/>
      </top>
      <bottom/>
      <diagonal/>
    </border>
    <border>
      <left style="thin">
        <color theme="4" tint="0.79989013336588644"/>
      </left>
      <right/>
      <top/>
      <bottom/>
      <diagonal/>
    </border>
    <border>
      <left style="thin">
        <color theme="4" tint="0.79989013336588644"/>
      </left>
      <right/>
      <top/>
      <bottom style="thin">
        <color theme="4" tint="0.79998168889431442"/>
      </bottom>
      <diagonal/>
    </border>
    <border>
      <left/>
      <right style="thin">
        <color theme="4" tint="0.79992065187536243"/>
      </right>
      <top style="thin">
        <color theme="4" tint="0.79989013336588644"/>
      </top>
      <bottom/>
      <diagonal/>
    </border>
    <border>
      <left/>
      <right style="thin">
        <color theme="4" tint="0.79985961485641044"/>
      </right>
      <top style="thin">
        <color theme="4" tint="0.79989013336588644"/>
      </top>
      <bottom/>
      <diagonal/>
    </border>
    <border>
      <left/>
      <right style="thin">
        <color theme="4" tint="0.79985961485641044"/>
      </right>
      <top/>
      <bottom/>
      <diagonal/>
    </border>
    <border>
      <left/>
      <right style="thin">
        <color theme="4" tint="0.79985961485641044"/>
      </right>
      <top/>
      <bottom style="thin">
        <color theme="4" tint="0.79995117038483843"/>
      </bottom>
      <diagonal/>
    </border>
    <border>
      <left/>
      <right style="thin">
        <color theme="4" tint="0.79995117038483843"/>
      </right>
      <top/>
      <bottom style="thin">
        <color theme="4" tint="0.79989013336588644"/>
      </bottom>
      <diagonal/>
    </border>
  </borders>
  <cellStyleXfs count="5">
    <xf numFmtId="0" fontId="0" fillId="0" borderId="0"/>
    <xf numFmtId="0" fontId="3" fillId="0" borderId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5" fillId="0" borderId="0" applyNumberFormat="0" applyFill="0" applyAlignment="0" applyProtection="0"/>
  </cellStyleXfs>
  <cellXfs count="107"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9" xfId="0" applyBorder="1"/>
    <xf numFmtId="0" fontId="0" fillId="0" borderId="16" xfId="0" applyBorder="1"/>
    <xf numFmtId="0" fontId="9" fillId="4" borderId="21" xfId="0" applyFont="1" applyFill="1" applyBorder="1" applyAlignment="1">
      <alignment horizontal="left" vertical="top" indent="1"/>
    </xf>
    <xf numFmtId="0" fontId="9" fillId="4" borderId="11" xfId="0" applyFont="1" applyFill="1" applyBorder="1" applyAlignment="1">
      <alignment horizontal="left" vertical="top" indent="1"/>
    </xf>
    <xf numFmtId="49" fontId="8" fillId="4" borderId="8" xfId="0" applyNumberFormat="1" applyFont="1" applyFill="1" applyBorder="1" applyAlignment="1">
      <alignment horizontal="left" indent="1"/>
    </xf>
    <xf numFmtId="49" fontId="8" fillId="4" borderId="24" xfId="0" applyNumberFormat="1" applyFont="1" applyFill="1" applyBorder="1" applyAlignment="1">
      <alignment horizontal="left" indent="1"/>
    </xf>
    <xf numFmtId="164" fontId="11" fillId="0" borderId="0" xfId="0" applyNumberFormat="1" applyFont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164" fontId="12" fillId="0" borderId="14" xfId="0" applyNumberFormat="1" applyFont="1" applyBorder="1" applyAlignment="1">
      <alignment horizontal="left" vertical="center" wrapText="1" indent="1"/>
    </xf>
    <xf numFmtId="0" fontId="0" fillId="0" borderId="15" xfId="0" applyBorder="1"/>
    <xf numFmtId="0" fontId="0" fillId="0" borderId="43" xfId="0" applyBorder="1"/>
    <xf numFmtId="0" fontId="0" fillId="0" borderId="44" xfId="0" applyBorder="1"/>
    <xf numFmtId="0" fontId="7" fillId="5" borderId="8" xfId="0" applyFont="1" applyFill="1" applyBorder="1" applyAlignment="1">
      <alignment horizontal="left" indent="1"/>
    </xf>
    <xf numFmtId="0" fontId="16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40" xfId="0" applyFont="1" applyBorder="1"/>
    <xf numFmtId="0" fontId="19" fillId="0" borderId="41" xfId="0" applyFont="1" applyBorder="1"/>
    <xf numFmtId="0" fontId="19" fillId="0" borderId="43" xfId="0" applyFont="1" applyBorder="1"/>
    <xf numFmtId="0" fontId="19" fillId="0" borderId="16" xfId="0" applyFont="1" applyBorder="1"/>
    <xf numFmtId="0" fontId="19" fillId="0" borderId="44" xfId="0" applyFont="1" applyBorder="1"/>
    <xf numFmtId="164" fontId="20" fillId="0" borderId="14" xfId="0" applyNumberFormat="1" applyFont="1" applyBorder="1" applyAlignment="1">
      <alignment horizontal="left" vertical="center" wrapText="1" indent="1"/>
    </xf>
    <xf numFmtId="0" fontId="19" fillId="0" borderId="15" xfId="0" applyFont="1" applyBorder="1"/>
    <xf numFmtId="164" fontId="18" fillId="0" borderId="14" xfId="0" applyNumberFormat="1" applyFont="1" applyBorder="1" applyAlignment="1">
      <alignment horizontal="center"/>
    </xf>
    <xf numFmtId="0" fontId="19" fillId="0" borderId="0" xfId="0" applyFont="1"/>
    <xf numFmtId="49" fontId="8" fillId="4" borderId="0" xfId="0" applyNumberFormat="1" applyFont="1" applyFill="1" applyAlignment="1">
      <alignment horizontal="left" indent="1"/>
    </xf>
    <xf numFmtId="0" fontId="9" fillId="4" borderId="45" xfId="0" applyFont="1" applyFill="1" applyBorder="1" applyAlignment="1">
      <alignment horizontal="left" vertical="top" indent="1"/>
    </xf>
    <xf numFmtId="49" fontId="8" fillId="4" borderId="46" xfId="0" applyNumberFormat="1" applyFont="1" applyFill="1" applyBorder="1" applyAlignment="1">
      <alignment horizontal="left" indent="1"/>
    </xf>
    <xf numFmtId="0" fontId="9" fillId="4" borderId="14" xfId="0" applyFont="1" applyFill="1" applyBorder="1" applyAlignment="1">
      <alignment horizontal="left" vertical="top" indent="1"/>
    </xf>
    <xf numFmtId="0" fontId="18" fillId="0" borderId="37" xfId="0" applyFont="1" applyBorder="1" applyAlignment="1">
      <alignment horizontal="center"/>
    </xf>
    <xf numFmtId="164" fontId="21" fillId="0" borderId="48" xfId="0" applyNumberFormat="1" applyFont="1" applyBorder="1" applyAlignment="1">
      <alignment horizontal="right" vertical="center"/>
    </xf>
    <xf numFmtId="0" fontId="18" fillId="0" borderId="50" xfId="0" applyFont="1" applyBorder="1" applyAlignment="1">
      <alignment horizontal="center"/>
    </xf>
    <xf numFmtId="0" fontId="0" fillId="0" borderId="3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18" fillId="0" borderId="17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5" fillId="0" borderId="30" xfId="0" applyFont="1" applyBorder="1" applyAlignment="1">
      <alignment vertical="center" textRotation="90"/>
    </xf>
    <xf numFmtId="0" fontId="22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left" indent="1"/>
    </xf>
    <xf numFmtId="49" fontId="8" fillId="4" borderId="16" xfId="0" applyNumberFormat="1" applyFont="1" applyFill="1" applyBorder="1" applyAlignment="1">
      <alignment horizontal="left" indent="1"/>
    </xf>
    <xf numFmtId="0" fontId="9" fillId="4" borderId="22" xfId="0" applyFont="1" applyFill="1" applyBorder="1" applyAlignment="1">
      <alignment horizontal="left" vertical="top" indent="1"/>
    </xf>
    <xf numFmtId="0" fontId="9" fillId="4" borderId="23" xfId="0" applyFont="1" applyFill="1" applyBorder="1" applyAlignment="1">
      <alignment horizontal="left" vertical="top" indent="1"/>
    </xf>
    <xf numFmtId="164" fontId="9" fillId="4" borderId="22" xfId="0" applyNumberFormat="1" applyFont="1" applyFill="1" applyBorder="1" applyAlignment="1">
      <alignment horizontal="left" vertical="top" indent="1"/>
    </xf>
    <xf numFmtId="164" fontId="9" fillId="4" borderId="27" xfId="0" applyNumberFormat="1" applyFont="1" applyFill="1" applyBorder="1" applyAlignment="1">
      <alignment horizontal="left" vertical="top" indent="1"/>
    </xf>
    <xf numFmtId="49" fontId="8" fillId="4" borderId="6" xfId="0" applyNumberFormat="1" applyFont="1" applyFill="1" applyBorder="1" applyAlignment="1">
      <alignment horizontal="left" indent="1"/>
    </xf>
    <xf numFmtId="49" fontId="8" fillId="4" borderId="10" xfId="0" applyNumberFormat="1" applyFont="1" applyFill="1" applyBorder="1" applyAlignment="1">
      <alignment horizontal="left" vertical="center" indent="1"/>
    </xf>
    <xf numFmtId="49" fontId="8" fillId="4" borderId="16" xfId="0" applyNumberFormat="1" applyFont="1" applyFill="1" applyBorder="1" applyAlignment="1">
      <alignment horizontal="left" vertical="center" indent="1"/>
    </xf>
    <xf numFmtId="0" fontId="9" fillId="4" borderId="12" xfId="0" applyFont="1" applyFill="1" applyBorder="1" applyAlignment="1">
      <alignment horizontal="left" vertical="top" indent="1"/>
    </xf>
    <xf numFmtId="0" fontId="9" fillId="4" borderId="13" xfId="0" applyFont="1" applyFill="1" applyBorder="1" applyAlignment="1">
      <alignment horizontal="left" vertical="top" indent="1"/>
    </xf>
    <xf numFmtId="164" fontId="9" fillId="4" borderId="12" xfId="0" applyNumberFormat="1" applyFont="1" applyFill="1" applyBorder="1" applyAlignment="1">
      <alignment horizontal="left" vertical="top" indent="1"/>
    </xf>
    <xf numFmtId="164" fontId="9" fillId="4" borderId="15" xfId="0" applyNumberFormat="1" applyFont="1" applyFill="1" applyBorder="1" applyAlignment="1">
      <alignment horizontal="left" vertical="top" indent="1"/>
    </xf>
    <xf numFmtId="49" fontId="8" fillId="4" borderId="25" xfId="0" applyNumberFormat="1" applyFont="1" applyFill="1" applyBorder="1" applyAlignment="1">
      <alignment horizontal="left" indent="1"/>
    </xf>
    <xf numFmtId="49" fontId="8" fillId="4" borderId="28" xfId="0" applyNumberFormat="1" applyFont="1" applyFill="1" applyBorder="1" applyAlignment="1">
      <alignment horizontal="left" indent="1"/>
    </xf>
    <xf numFmtId="0" fontId="10" fillId="4" borderId="22" xfId="0" applyFont="1" applyFill="1" applyBorder="1" applyAlignment="1">
      <alignment horizontal="left" vertical="top" indent="1"/>
    </xf>
    <xf numFmtId="0" fontId="10" fillId="4" borderId="27" xfId="0" applyFont="1" applyFill="1" applyBorder="1" applyAlignment="1">
      <alignment horizontal="left" vertical="top" indent="1"/>
    </xf>
    <xf numFmtId="0" fontId="9" fillId="4" borderId="27" xfId="0" applyFont="1" applyFill="1" applyBorder="1" applyAlignment="1">
      <alignment horizontal="left" vertical="top" indent="1"/>
    </xf>
    <xf numFmtId="164" fontId="21" fillId="0" borderId="5" xfId="0" applyNumberFormat="1" applyFont="1" applyBorder="1" applyAlignment="1">
      <alignment horizontal="left"/>
    </xf>
    <xf numFmtId="164" fontId="21" fillId="0" borderId="20" xfId="0" applyNumberFormat="1" applyFont="1" applyBorder="1" applyAlignment="1">
      <alignment horizontal="left"/>
    </xf>
    <xf numFmtId="0" fontId="19" fillId="0" borderId="50" xfId="0" applyFont="1" applyBorder="1" applyAlignment="1">
      <alignment horizontal="left"/>
    </xf>
    <xf numFmtId="0" fontId="19" fillId="0" borderId="5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49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9" fillId="0" borderId="59" xfId="0" applyFont="1" applyBorder="1" applyAlignment="1">
      <alignment horizontal="left"/>
    </xf>
    <xf numFmtId="0" fontId="13" fillId="0" borderId="39" xfId="0" applyFont="1" applyBorder="1" applyAlignment="1">
      <alignment horizontal="center" vertical="center" textRotation="90"/>
    </xf>
    <xf numFmtId="0" fontId="13" fillId="0" borderId="7" xfId="0" applyFont="1" applyBorder="1" applyAlignment="1">
      <alignment horizontal="center" vertical="center" textRotation="90"/>
    </xf>
    <xf numFmtId="0" fontId="13" fillId="0" borderId="42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49" fontId="10" fillId="4" borderId="10" xfId="0" applyNumberFormat="1" applyFont="1" applyFill="1" applyBorder="1" applyAlignment="1">
      <alignment horizontal="left" indent="1"/>
    </xf>
    <xf numFmtId="49" fontId="10" fillId="4" borderId="16" xfId="0" applyNumberFormat="1" applyFont="1" applyFill="1" applyBorder="1" applyAlignment="1">
      <alignment horizontal="left" indent="1"/>
    </xf>
    <xf numFmtId="0" fontId="15" fillId="0" borderId="36" xfId="0" applyFont="1" applyBorder="1" applyAlignment="1">
      <alignment vertical="center" textRotation="90"/>
    </xf>
    <xf numFmtId="0" fontId="15" fillId="0" borderId="29" xfId="0" applyFont="1" applyBorder="1" applyAlignment="1">
      <alignment vertical="center" textRotation="90"/>
    </xf>
    <xf numFmtId="0" fontId="15" fillId="0" borderId="33" xfId="0" applyFont="1" applyBorder="1" applyAlignment="1">
      <alignment vertical="center" textRotation="90"/>
    </xf>
    <xf numFmtId="0" fontId="15" fillId="0" borderId="30" xfId="0" applyFont="1" applyBorder="1" applyAlignment="1">
      <alignment vertical="center" textRotation="90"/>
    </xf>
    <xf numFmtId="0" fontId="7" fillId="5" borderId="10" xfId="0" applyFont="1" applyFill="1" applyBorder="1" applyAlignment="1">
      <alignment horizontal="left" indent="1"/>
    </xf>
    <xf numFmtId="0" fontId="7" fillId="5" borderId="6" xfId="0" applyFont="1" applyFill="1" applyBorder="1" applyAlignment="1">
      <alignment horizontal="left" indent="1"/>
    </xf>
    <xf numFmtId="49" fontId="8" fillId="4" borderId="26" xfId="0" applyNumberFormat="1" applyFont="1" applyFill="1" applyBorder="1" applyAlignment="1">
      <alignment horizontal="left" indent="1"/>
    </xf>
    <xf numFmtId="0" fontId="14" fillId="0" borderId="33" xfId="0" applyFont="1" applyBorder="1" applyAlignment="1">
      <alignment horizontal="left" vertical="center" indent="2"/>
    </xf>
    <xf numFmtId="0" fontId="14" fillId="0" borderId="34" xfId="0" applyFont="1" applyBorder="1" applyAlignment="1">
      <alignment horizontal="left" vertical="center" indent="2"/>
    </xf>
    <xf numFmtId="0" fontId="14" fillId="0" borderId="30" xfId="0" applyFont="1" applyBorder="1" applyAlignment="1">
      <alignment horizontal="left" vertical="center" indent="2"/>
    </xf>
    <xf numFmtId="0" fontId="14" fillId="0" borderId="31" xfId="0" applyFont="1" applyBorder="1" applyAlignment="1">
      <alignment horizontal="left" vertical="center" indent="2"/>
    </xf>
    <xf numFmtId="0" fontId="19" fillId="0" borderId="37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0" fontId="17" fillId="0" borderId="35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5" fillId="0" borderId="52" xfId="0" applyFont="1" applyBorder="1" applyAlignment="1">
      <alignment vertical="center" textRotation="90"/>
    </xf>
    <xf numFmtId="0" fontId="15" fillId="0" borderId="53" xfId="0" applyFont="1" applyBorder="1" applyAlignment="1">
      <alignment vertical="center" textRotation="90"/>
    </xf>
    <xf numFmtId="0" fontId="15" fillId="0" borderId="54" xfId="0" applyFont="1" applyBorder="1" applyAlignment="1">
      <alignment vertical="center" textRotation="90"/>
    </xf>
    <xf numFmtId="0" fontId="15" fillId="0" borderId="47" xfId="0" applyFont="1" applyBorder="1" applyAlignment="1">
      <alignment vertical="center" textRotation="90"/>
    </xf>
    <xf numFmtId="0" fontId="7" fillId="5" borderId="16" xfId="0" applyFont="1" applyFill="1" applyBorder="1" applyAlignment="1">
      <alignment horizontal="left" indent="1"/>
    </xf>
  </cellXfs>
  <cellStyles count="5">
    <cellStyle name="40% - Accent1 2" xfId="3" xr:uid="{00000000-0005-0000-0000-000000000000}"/>
    <cellStyle name="Accent1 2" xfId="2" xr:uid="{00000000-0005-0000-0000-000001000000}"/>
    <cellStyle name="Heading 1 2" xfId="4" xr:uid="{00000000-0005-0000-0000-000002000000}"/>
    <cellStyle name="Normal" xfId="0" builtinId="0" customBuiltin="1"/>
    <cellStyle name="Normal 2" xfId="1" xr:uid="{00000000-0005-0000-0000-000004000000}"/>
  </cellStyles>
  <dxfs count="47"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 xr9:uid="{00000000-0011-0000-FFFF-FFFF00000000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TableStyleLight9 2" pivot="0" count="4" xr9:uid="{00000000-0011-0000-FFFF-FFFF01000000}">
      <tableStyleElement type="wholeTable" dxfId="39"/>
      <tableStyleElement type="headerRow" dxfId="38"/>
      <tableStyleElement type="totalRow" dxfId="37"/>
      <tableStyleElement type="firstColumn" dxfId="36"/>
    </tableStyle>
  </tableStyles>
  <colors>
    <mruColors>
      <color rgb="FFB70D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R$2" max="2999" min="1900" page="10" val="2025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1</xdr:row>
      <xdr:rowOff>28575</xdr:rowOff>
    </xdr:from>
    <xdr:to>
      <xdr:col>22</xdr:col>
      <xdr:colOff>552450</xdr:colOff>
      <xdr:row>2</xdr:row>
      <xdr:rowOff>238124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39300" y="171450"/>
          <a:ext cx="2286000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1">
              <a:solidFill>
                <a:srgbClr val="B70D50"/>
              </a:solidFill>
            </a:rPr>
            <a:t>Click the spinner to </a:t>
          </a:r>
        </a:p>
        <a:p>
          <a:pPr algn="l"/>
          <a:r>
            <a:rPr lang="en-US" sz="1000" b="1">
              <a:solidFill>
                <a:srgbClr val="B70D50"/>
              </a:solidFill>
            </a:rPr>
            <a:t>change the calendar year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</xdr:row>
          <xdr:rowOff>83820</xdr:rowOff>
        </xdr:from>
        <xdr:to>
          <xdr:col>19</xdr:col>
          <xdr:colOff>0</xdr:colOff>
          <xdr:row>2</xdr:row>
          <xdr:rowOff>160020</xdr:rowOff>
        </xdr:to>
        <xdr:sp macro="" textlink="">
          <xdr:nvSpPr>
            <xdr:cNvPr id="1025" name="Spinner 1" descr="Spinner control. Use spinner to change calendar year or type desired year in cell L2 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70D50"/>
    <pageSetUpPr fitToPage="1"/>
  </sheetPr>
  <dimension ref="A1:R33"/>
  <sheetViews>
    <sheetView showGridLines="0" tabSelected="1" zoomScaleNormal="100" zoomScalePageLayoutView="84" workbookViewId="0">
      <selection activeCell="V12" sqref="V12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0</v>
      </c>
      <c r="C2" s="9"/>
      <c r="D2" s="9"/>
      <c r="E2" s="9"/>
      <c r="F2" s="9"/>
      <c r="G2" s="9"/>
      <c r="H2" s="37"/>
      <c r="I2" s="37"/>
      <c r="J2" s="39"/>
      <c r="K2" s="37"/>
      <c r="L2" s="37"/>
      <c r="M2" s="37"/>
      <c r="N2" s="38"/>
      <c r="O2" s="90" t="s">
        <v>1</v>
      </c>
      <c r="P2" s="91">
        <v>2013</v>
      </c>
      <c r="Q2" s="91"/>
      <c r="R2" s="100">
        <v>2025</v>
      </c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40"/>
      <c r="O3" s="92"/>
      <c r="P3" s="93"/>
      <c r="Q3" s="93"/>
      <c r="R3" s="101"/>
    </row>
    <row r="4" spans="1:18" ht="18" customHeight="1" x14ac:dyDescent="0.25">
      <c r="A4" s="2"/>
      <c r="B4" s="76"/>
      <c r="C4" s="8">
        <f>IF(DAY(JanSun1)=1,JanSun1-6,JanSun1+1)</f>
        <v>45656</v>
      </c>
      <c r="D4" s="8">
        <f>IF(DAY(JanSun1)=1,JanSun1-5,JanSun1+2)</f>
        <v>45657</v>
      </c>
      <c r="E4" s="8">
        <f>IF(DAY(JanSun1)=1,JanSun1-4,JanSun1+3)</f>
        <v>45658</v>
      </c>
      <c r="F4" s="8">
        <f>IF(DAY(JanSun1)=1,JanSun1-3,JanSun1+4)</f>
        <v>45659</v>
      </c>
      <c r="G4" s="8">
        <f>IF(DAY(JanSun1)=1,JanSun1-2,JanSun1+5)</f>
        <v>45660</v>
      </c>
      <c r="H4" s="8">
        <f>IF(DAY(JanSun1)=1,JanSun1-1,JanSun1+6)</f>
        <v>45661</v>
      </c>
      <c r="I4" s="8">
        <f>IF(DAY(JanSun1)=1,JanSun1,JanSun1+7)</f>
        <v>45662</v>
      </c>
      <c r="J4" s="40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IF(DAY(JanSun1)=1,JanSun1+1,JanSun1+8)</f>
        <v>45663</v>
      </c>
      <c r="D5" s="8">
        <f>IF(DAY(JanSun1)=1,JanSun1+2,JanSun1+9)</f>
        <v>45664</v>
      </c>
      <c r="E5" s="8">
        <f>IF(DAY(JanSun1)=1,JanSun1+3,JanSun1+10)</f>
        <v>45665</v>
      </c>
      <c r="F5" s="8">
        <f>IF(DAY(JanSun1)=1,JanSun1+4,JanSun1+11)</f>
        <v>45666</v>
      </c>
      <c r="G5" s="8">
        <f>IF(DAY(JanSun1)=1,JanSun1+5,JanSun1+12)</f>
        <v>45667</v>
      </c>
      <c r="H5" s="8">
        <f>IF(DAY(JanSun1)=1,JanSun1+6,JanSun1+13)</f>
        <v>45668</v>
      </c>
      <c r="I5" s="8">
        <f>IF(DAY(JanSun1)=1,JanSun1+7,JanSun1+14)</f>
        <v>45669</v>
      </c>
      <c r="J5" s="40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IF(DAY(JanSun1)=1,JanSun1+8,JanSun1+15)</f>
        <v>45670</v>
      </c>
      <c r="D6" s="8">
        <f>IF(DAY(JanSun1)=1,JanSun1+9,JanSun1+16)</f>
        <v>45671</v>
      </c>
      <c r="E6" s="8">
        <f>IF(DAY(JanSun1)=1,JanSun1+10,JanSun1+17)</f>
        <v>45672</v>
      </c>
      <c r="F6" s="8">
        <f>IF(DAY(JanSun1)=1,JanSun1+11,JanSun1+18)</f>
        <v>45673</v>
      </c>
      <c r="G6" s="8">
        <f>IF(DAY(JanSun1)=1,JanSun1+12,JanSun1+19)</f>
        <v>45674</v>
      </c>
      <c r="H6" s="8">
        <f>IF(DAY(JanSun1)=1,JanSun1+13,JanSun1+20)</f>
        <v>45675</v>
      </c>
      <c r="I6" s="8">
        <f>IF(DAY(JanSun1)=1,JanSun1+14,JanSun1+21)</f>
        <v>45676</v>
      </c>
      <c r="J6" s="40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IF(DAY(JanSun1)=1,JanSun1+15,JanSun1+22)</f>
        <v>45677</v>
      </c>
      <c r="D7" s="8">
        <f>IF(DAY(JanSun1)=1,JanSun1+16,JanSun1+23)</f>
        <v>45678</v>
      </c>
      <c r="E7" s="8">
        <f>IF(DAY(JanSun1)=1,JanSun1+17,JanSun1+24)</f>
        <v>45679</v>
      </c>
      <c r="F7" s="8">
        <f>IF(DAY(JanSun1)=1,JanSun1+18,JanSun1+25)</f>
        <v>45680</v>
      </c>
      <c r="G7" s="8">
        <f>IF(DAY(JanSun1)=1,JanSun1+19,JanSun1+26)</f>
        <v>45681</v>
      </c>
      <c r="H7" s="8">
        <f>IF(DAY(JanSun1)=1,JanSun1+20,JanSun1+27)</f>
        <v>45682</v>
      </c>
      <c r="I7" s="8">
        <f>IF(DAY(JanSun1)=1,JanSun1+21,JanSun1+28)</f>
        <v>45683</v>
      </c>
      <c r="J7" s="40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IF(DAY(JanSun1)=1,JanSun1+22,JanSun1+29)</f>
        <v>45684</v>
      </c>
      <c r="D8" s="8">
        <f>IF(DAY(JanSun1)=1,JanSun1+23,JanSun1+30)</f>
        <v>45685</v>
      </c>
      <c r="E8" s="8">
        <f>IF(DAY(JanSun1)=1,JanSun1+24,JanSun1+31)</f>
        <v>45686</v>
      </c>
      <c r="F8" s="8">
        <f>IF(DAY(JanSun1)=1,JanSun1+25,JanSun1+32)</f>
        <v>45687</v>
      </c>
      <c r="G8" s="8">
        <f>IF(DAY(JanSun1)=1,JanSun1+26,JanSun1+33)</f>
        <v>45688</v>
      </c>
      <c r="H8" s="8">
        <f>IF(DAY(JanSun1)=1,JanSun1+27,JanSun1+34)</f>
        <v>45689</v>
      </c>
      <c r="I8" s="8">
        <f>IF(DAY(JanSun1)=1,JanSun1+28,JanSun1+35)</f>
        <v>45690</v>
      </c>
      <c r="J8" s="40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IF(DAY(JanSun1)=1,JanSun1+29,JanSun1+36)</f>
        <v>45691</v>
      </c>
      <c r="D9" s="8">
        <f>IF(DAY(JanSun1)=1,JanSun1+30,JanSun1+37)</f>
        <v>45692</v>
      </c>
      <c r="E9" s="8">
        <f>IF(DAY(JanSun1)=1,JanSun1+31,JanSun1+38)</f>
        <v>45693</v>
      </c>
      <c r="F9" s="8">
        <f>IF(DAY(JanSun1)=1,JanSun1+32,JanSun1+39)</f>
        <v>45694</v>
      </c>
      <c r="G9" s="8">
        <f>IF(DAY(JanSun1)=1,JanSun1+33,JanSun1+40)</f>
        <v>45695</v>
      </c>
      <c r="H9" s="8">
        <f>IF(DAY(JanSun1)=1,JanSun1+34,JanSun1+41)</f>
        <v>45696</v>
      </c>
      <c r="I9" s="8">
        <f>IF(DAY(JanSun1)=1,JanSun1+35,JanSun1+42)</f>
        <v>45697</v>
      </c>
      <c r="J9" s="40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41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8">
    <mergeCell ref="E13:F13"/>
    <mergeCell ref="C13:D13"/>
    <mergeCell ref="G17:H17"/>
    <mergeCell ref="I17:J17"/>
    <mergeCell ref="G18:H18"/>
    <mergeCell ref="I18:J18"/>
    <mergeCell ref="G14:H14"/>
    <mergeCell ref="G15:H15"/>
    <mergeCell ref="G16:H16"/>
    <mergeCell ref="E18:F18"/>
    <mergeCell ref="I14:J14"/>
    <mergeCell ref="O16:O18"/>
    <mergeCell ref="Q12:R12"/>
    <mergeCell ref="Q13:R13"/>
    <mergeCell ref="Q14:R14"/>
    <mergeCell ref="Q15:R15"/>
    <mergeCell ref="Q16:R16"/>
    <mergeCell ref="Q17:R17"/>
    <mergeCell ref="Q18:R18"/>
    <mergeCell ref="G13:H13"/>
    <mergeCell ref="K13:L13"/>
    <mergeCell ref="M13:N13"/>
    <mergeCell ref="E17:F17"/>
    <mergeCell ref="E16:F16"/>
    <mergeCell ref="E15:F15"/>
    <mergeCell ref="E14:F14"/>
    <mergeCell ref="E22:F22"/>
    <mergeCell ref="E21:F21"/>
    <mergeCell ref="E20:F20"/>
    <mergeCell ref="C14:D14"/>
    <mergeCell ref="C15:D15"/>
    <mergeCell ref="O2:Q3"/>
    <mergeCell ref="O10:O12"/>
    <mergeCell ref="O4:O6"/>
    <mergeCell ref="Q4:R4"/>
    <mergeCell ref="Q5:R5"/>
    <mergeCell ref="Q6:R6"/>
    <mergeCell ref="Q7:R7"/>
    <mergeCell ref="Q8:R8"/>
    <mergeCell ref="Q9:R9"/>
    <mergeCell ref="Q10:R10"/>
    <mergeCell ref="Q11:R11"/>
    <mergeCell ref="R2:R3"/>
    <mergeCell ref="O7:O9"/>
    <mergeCell ref="E33:F33"/>
    <mergeCell ref="E32:F32"/>
    <mergeCell ref="E31:F31"/>
    <mergeCell ref="E30:F30"/>
    <mergeCell ref="E29:F29"/>
    <mergeCell ref="C16:D16"/>
    <mergeCell ref="C17:D17"/>
    <mergeCell ref="C18:D1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E23:F23"/>
    <mergeCell ref="B2:B10"/>
    <mergeCell ref="B11:J12"/>
    <mergeCell ref="Q31:R31"/>
    <mergeCell ref="Q32:R32"/>
    <mergeCell ref="G30:H30"/>
    <mergeCell ref="G31:H31"/>
    <mergeCell ref="G32:H32"/>
    <mergeCell ref="I30:J30"/>
    <mergeCell ref="M30:N30"/>
    <mergeCell ref="I19:J19"/>
    <mergeCell ref="O13:O15"/>
    <mergeCell ref="O19:O21"/>
    <mergeCell ref="O27:O32"/>
    <mergeCell ref="O23:O26"/>
    <mergeCell ref="I31:J31"/>
    <mergeCell ref="M31:N31"/>
    <mergeCell ref="I32:J32"/>
    <mergeCell ref="M32:N32"/>
    <mergeCell ref="I13:J13"/>
    <mergeCell ref="G28:H28"/>
    <mergeCell ref="G29:H29"/>
    <mergeCell ref="I22:J22"/>
    <mergeCell ref="I23:J23"/>
    <mergeCell ref="G22:H22"/>
    <mergeCell ref="Q21:R21"/>
    <mergeCell ref="Q22:R22"/>
    <mergeCell ref="Q23:R23"/>
    <mergeCell ref="Q24:R24"/>
    <mergeCell ref="Q25:R25"/>
    <mergeCell ref="E19:F19"/>
    <mergeCell ref="E28:F28"/>
    <mergeCell ref="E27:F27"/>
    <mergeCell ref="E26:F26"/>
    <mergeCell ref="E25:F25"/>
    <mergeCell ref="G23:H23"/>
    <mergeCell ref="G24:H24"/>
    <mergeCell ref="I24:J24"/>
    <mergeCell ref="G20:H20"/>
    <mergeCell ref="G21:H21"/>
    <mergeCell ref="I20:J20"/>
    <mergeCell ref="I21:J21"/>
    <mergeCell ref="E24:F24"/>
    <mergeCell ref="Q19:R19"/>
    <mergeCell ref="Q20:R20"/>
    <mergeCell ref="G19:H19"/>
    <mergeCell ref="M27:N27"/>
    <mergeCell ref="I28:J28"/>
    <mergeCell ref="M28:N28"/>
    <mergeCell ref="I29:J29"/>
    <mergeCell ref="M29:N29"/>
    <mergeCell ref="Q33:R33"/>
    <mergeCell ref="Q26:R26"/>
    <mergeCell ref="Q27:R27"/>
    <mergeCell ref="Q28:R28"/>
    <mergeCell ref="Q29:R29"/>
    <mergeCell ref="Q30:R30"/>
    <mergeCell ref="M14:N14"/>
    <mergeCell ref="I15:J15"/>
    <mergeCell ref="M15:N15"/>
    <mergeCell ref="I16:J16"/>
    <mergeCell ref="M16:N16"/>
    <mergeCell ref="G33:H33"/>
    <mergeCell ref="I25:J25"/>
    <mergeCell ref="I26:J26"/>
    <mergeCell ref="G25:H25"/>
    <mergeCell ref="G26:H26"/>
    <mergeCell ref="G27:H27"/>
    <mergeCell ref="I33:J33"/>
    <mergeCell ref="M33:N33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I27:J27"/>
  </mergeCells>
  <phoneticPr fontId="1" type="noConversion"/>
  <conditionalFormatting sqref="C4:H4">
    <cfRule type="expression" dxfId="35" priority="5" stopIfTrue="1">
      <formula>DAY(C4)&gt;8</formula>
    </cfRule>
  </conditionalFormatting>
  <conditionalFormatting sqref="C4:I9">
    <cfRule type="expression" dxfId="34" priority="16">
      <formula>VLOOKUP(DAY(C4),AssignmentDays,1,FALSE)=DAY(C4)</formula>
    </cfRule>
  </conditionalFormatting>
  <conditionalFormatting sqref="C8:I10">
    <cfRule type="expression" dxfId="33" priority="4" stopIfTrue="1">
      <formula>AND(DAY(C8)&gt;=1,DAY(C8)&lt;=15)</formula>
    </cfRule>
  </conditionalFormatting>
  <dataValidations count="1">
    <dataValidation allowBlank="1" showInputMessage="1" showErrorMessage="1" errorTitle="Invalid Year" error="Enter a year from 1900 to 9999, or use the scroll bar to find a year." sqref="R2" xr:uid="{00000000-0002-0000-0000-000000000000}"/>
  </dataValidations>
  <printOptions horizontalCentered="1"/>
  <pageMargins left="0.5" right="0.5" top="0.5" bottom="0.5" header="0.3" footer="0.3"/>
  <pageSetup scale="9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 altText="Spinner control. Use spinner to change calendar year or type desired year in cell L2 ">
                <anchor moveWithCells="1">
                  <from>
                    <xdr:col>18</xdr:col>
                    <xdr:colOff>30480</xdr:colOff>
                    <xdr:row>1</xdr:row>
                    <xdr:rowOff>83820</xdr:rowOff>
                  </from>
                  <to>
                    <xdr:col>19</xdr:col>
                    <xdr:colOff>0</xdr:colOff>
                    <xdr:row>2</xdr:row>
                    <xdr:rowOff>160020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70D50"/>
    <pageSetUpPr fitToPage="1"/>
  </sheetPr>
  <dimension ref="A1:R33"/>
  <sheetViews>
    <sheetView showGridLines="0" zoomScaleNormal="100" zoomScalePageLayoutView="84" workbookViewId="0">
      <selection activeCell="B14" sqref="B14:N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24</v>
      </c>
      <c r="C2" s="9"/>
      <c r="D2" s="9"/>
      <c r="E2" s="9"/>
      <c r="F2" s="9"/>
      <c r="G2" s="9"/>
      <c r="H2" s="9"/>
      <c r="I2" s="9"/>
      <c r="J2" s="10"/>
      <c r="O2" s="90" t="s">
        <v>1</v>
      </c>
      <c r="P2" s="91">
        <v>2013</v>
      </c>
      <c r="Q2" s="91"/>
      <c r="R2" s="1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O3" s="92"/>
      <c r="P3" s="93"/>
      <c r="Q3" s="93"/>
      <c r="R3" s="14"/>
    </row>
    <row r="4" spans="1:18" ht="18" customHeight="1" x14ac:dyDescent="0.25">
      <c r="A4" s="2"/>
      <c r="B4" s="76"/>
      <c r="C4" s="8">
        <f>IF(DAY(OctSun1)=1,OctSun1-6,OctSun1+1)</f>
        <v>45929</v>
      </c>
      <c r="D4" s="8">
        <f>IF(DAY(OctSun1)=1,OctSun1-5,OctSun1+2)</f>
        <v>45930</v>
      </c>
      <c r="E4" s="8">
        <f>IF(DAY(OctSun1)=1,OctSun1-4,OctSun1+3)</f>
        <v>45931</v>
      </c>
      <c r="F4" s="8">
        <f>IF(DAY(OctSun1)=1,OctSun1-3,OctSun1+4)</f>
        <v>45932</v>
      </c>
      <c r="G4" s="8">
        <f>IF(DAY(OctSun1)=1,OctSun1-2,OctSun1+5)</f>
        <v>45933</v>
      </c>
      <c r="H4" s="8">
        <f>IF(DAY(OctSun1)=1,OctSun1-1,OctSun1+6)</f>
        <v>45934</v>
      </c>
      <c r="I4" s="8">
        <f>IF(DAY(OctSun1)=1,OctSun1,OctSun1+7)</f>
        <v>45935</v>
      </c>
      <c r="J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IF(DAY(OctSun1)=1,OctSun1+1,OctSun1+8)</f>
        <v>45936</v>
      </c>
      <c r="D5" s="8">
        <f>IF(DAY(OctSun1)=1,OctSun1+2,OctSun1+9)</f>
        <v>45937</v>
      </c>
      <c r="E5" s="8">
        <f>IF(DAY(OctSun1)=1,OctSun1+3,OctSun1+10)</f>
        <v>45938</v>
      </c>
      <c r="F5" s="8">
        <f>IF(DAY(OctSun1)=1,OctSun1+4,OctSun1+11)</f>
        <v>45939</v>
      </c>
      <c r="G5" s="8">
        <f>IF(DAY(OctSun1)=1,OctSun1+5,OctSun1+12)</f>
        <v>45940</v>
      </c>
      <c r="H5" s="8">
        <f>IF(DAY(OctSun1)=1,OctSun1+6,OctSun1+13)</f>
        <v>45941</v>
      </c>
      <c r="I5" s="8">
        <f>IF(DAY(OctSun1)=1,OctSun1+7,OctSun1+14)</f>
        <v>45942</v>
      </c>
      <c r="J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IF(DAY(OctSun1)=1,OctSun1+8,OctSun1+15)</f>
        <v>45943</v>
      </c>
      <c r="D6" s="8">
        <f>IF(DAY(OctSun1)=1,OctSun1+9,OctSun1+16)</f>
        <v>45944</v>
      </c>
      <c r="E6" s="8">
        <f>IF(DAY(OctSun1)=1,OctSun1+10,OctSun1+17)</f>
        <v>45945</v>
      </c>
      <c r="F6" s="8">
        <f>IF(DAY(OctSun1)=1,OctSun1+11,OctSun1+18)</f>
        <v>45946</v>
      </c>
      <c r="G6" s="8">
        <f>IF(DAY(OctSun1)=1,OctSun1+12,OctSun1+19)</f>
        <v>45947</v>
      </c>
      <c r="H6" s="8">
        <f>IF(DAY(OctSun1)=1,OctSun1+13,OctSun1+20)</f>
        <v>45948</v>
      </c>
      <c r="I6" s="8">
        <f>IF(DAY(OctSun1)=1,OctSun1+14,OctSun1+21)</f>
        <v>45949</v>
      </c>
      <c r="J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IF(DAY(OctSun1)=1,OctSun1+15,OctSun1+22)</f>
        <v>45950</v>
      </c>
      <c r="D7" s="8">
        <f>IF(DAY(OctSun1)=1,OctSun1+16,OctSun1+23)</f>
        <v>45951</v>
      </c>
      <c r="E7" s="8">
        <f>IF(DAY(OctSun1)=1,OctSun1+17,OctSun1+24)</f>
        <v>45952</v>
      </c>
      <c r="F7" s="8">
        <f>IF(DAY(OctSun1)=1,OctSun1+18,OctSun1+25)</f>
        <v>45953</v>
      </c>
      <c r="G7" s="8">
        <f>IF(DAY(OctSun1)=1,OctSun1+19,OctSun1+26)</f>
        <v>45954</v>
      </c>
      <c r="H7" s="8">
        <f>IF(DAY(OctSun1)=1,OctSun1+20,OctSun1+27)</f>
        <v>45955</v>
      </c>
      <c r="I7" s="8">
        <f>IF(DAY(OctSun1)=1,OctSun1+21,OctSun1+28)</f>
        <v>45956</v>
      </c>
      <c r="J7" s="3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IF(DAY(OctSun1)=1,OctSun1+22,OctSun1+29)</f>
        <v>45957</v>
      </c>
      <c r="D8" s="8">
        <f>IF(DAY(OctSun1)=1,OctSun1+23,OctSun1+30)</f>
        <v>45958</v>
      </c>
      <c r="E8" s="8">
        <f>IF(DAY(OctSun1)=1,OctSun1+24,OctSun1+31)</f>
        <v>45959</v>
      </c>
      <c r="F8" s="8">
        <f>IF(DAY(OctSun1)=1,OctSun1+25,OctSun1+32)</f>
        <v>45960</v>
      </c>
      <c r="G8" s="8">
        <f>IF(DAY(OctSun1)=1,OctSun1+26,OctSun1+33)</f>
        <v>45961</v>
      </c>
      <c r="H8" s="8">
        <f>IF(DAY(OctSun1)=1,OctSun1+27,OctSun1+34)</f>
        <v>45962</v>
      </c>
      <c r="I8" s="8">
        <f>IF(DAY(OctSun1)=1,OctSun1+28,OctSun1+35)</f>
        <v>45963</v>
      </c>
      <c r="J8" s="3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IF(DAY(OctSun1)=1,OctSun1+29,OctSun1+36)</f>
        <v>45964</v>
      </c>
      <c r="D9" s="8">
        <f>IF(DAY(OctSun1)=1,OctSun1+30,OctSun1+37)</f>
        <v>45965</v>
      </c>
      <c r="E9" s="8">
        <f>IF(DAY(OctSun1)=1,OctSun1+31,OctSun1+38)</f>
        <v>45966</v>
      </c>
      <c r="F9" s="8">
        <f>IF(DAY(OctSun1)=1,OctSun1+32,OctSun1+39)</f>
        <v>45967</v>
      </c>
      <c r="G9" s="8">
        <f>IF(DAY(OctSun1)=1,OctSun1+33,OctSun1+40)</f>
        <v>45968</v>
      </c>
      <c r="H9" s="8">
        <f>IF(DAY(OctSun1)=1,OctSun1+34,OctSun1+41)</f>
        <v>45969</v>
      </c>
      <c r="I9" s="8">
        <f>IF(DAY(OctSun1)=1,OctSun1+35,OctSun1+42)</f>
        <v>45970</v>
      </c>
      <c r="J9" s="3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8" priority="4" stopIfTrue="1">
      <formula>DAY(C4)&gt;8</formula>
    </cfRule>
  </conditionalFormatting>
  <conditionalFormatting sqref="C4:I9">
    <cfRule type="expression" dxfId="7" priority="5">
      <formula>VLOOKUP(DAY(C4),AssignmentDays,1,FALSE)=DAY(C4)</formula>
    </cfRule>
  </conditionalFormatting>
  <conditionalFormatting sqref="C8:I10">
    <cfRule type="expression" dxfId="6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70D50"/>
    <pageSetUpPr fitToPage="1"/>
  </sheetPr>
  <dimension ref="A1:R33"/>
  <sheetViews>
    <sheetView showGridLines="0" zoomScaleNormal="100" zoomScalePageLayoutView="84" workbookViewId="0">
      <selection activeCell="B14" sqref="B14:N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25</v>
      </c>
      <c r="C2" s="9"/>
      <c r="D2" s="9"/>
      <c r="E2" s="9"/>
      <c r="F2" s="9"/>
      <c r="G2" s="9"/>
      <c r="H2" s="9"/>
      <c r="I2" s="9"/>
      <c r="J2" s="10"/>
      <c r="O2" s="90" t="s">
        <v>1</v>
      </c>
      <c r="P2" s="91">
        <v>2013</v>
      </c>
      <c r="Q2" s="91"/>
      <c r="R2" s="2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O3" s="92"/>
      <c r="P3" s="93"/>
      <c r="Q3" s="93"/>
      <c r="R3" s="25"/>
    </row>
    <row r="4" spans="1:18" ht="18" customHeight="1" x14ac:dyDescent="0.25">
      <c r="A4" s="2"/>
      <c r="B4" s="76"/>
      <c r="C4" s="8">
        <f>IF(DAY(NovSun1)=1,NovSun1-6,NovSun1+1)</f>
        <v>45957</v>
      </c>
      <c r="D4" s="8">
        <f>IF(DAY(NovSun1)=1,NovSun1-5,NovSun1+2)</f>
        <v>45958</v>
      </c>
      <c r="E4" s="8">
        <f>IF(DAY(NovSun1)=1,NovSun1-4,NovSun1+3)</f>
        <v>45959</v>
      </c>
      <c r="F4" s="8">
        <f>IF(DAY(NovSun1)=1,NovSun1-3,NovSun1+4)</f>
        <v>45960</v>
      </c>
      <c r="G4" s="8">
        <f>IF(DAY(NovSun1)=1,NovSun1-2,NovSun1+5)</f>
        <v>45961</v>
      </c>
      <c r="H4" s="8">
        <f>IF(DAY(NovSun1)=1,NovSun1-1,NovSun1+6)</f>
        <v>45962</v>
      </c>
      <c r="I4" s="8">
        <f>IF(DAY(NovSun1)=1,NovSun1,NovSun1+7)</f>
        <v>45963</v>
      </c>
      <c r="J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IF(DAY(NovSun1)=1,NovSun1+1,NovSun1+8)</f>
        <v>45964</v>
      </c>
      <c r="D5" s="8">
        <f>IF(DAY(NovSun1)=1,NovSun1+2,NovSun1+9)</f>
        <v>45965</v>
      </c>
      <c r="E5" s="8">
        <f>IF(DAY(NovSun1)=1,NovSun1+3,NovSun1+10)</f>
        <v>45966</v>
      </c>
      <c r="F5" s="8">
        <f>IF(DAY(NovSun1)=1,NovSun1+4,NovSun1+11)</f>
        <v>45967</v>
      </c>
      <c r="G5" s="8">
        <f>IF(DAY(NovSun1)=1,NovSun1+5,NovSun1+12)</f>
        <v>45968</v>
      </c>
      <c r="H5" s="8">
        <f>IF(DAY(NovSun1)=1,NovSun1+6,NovSun1+13)</f>
        <v>45969</v>
      </c>
      <c r="I5" s="8">
        <f>IF(DAY(NovSun1)=1,NovSun1+7,NovSun1+14)</f>
        <v>45970</v>
      </c>
      <c r="J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IF(DAY(NovSun1)=1,NovSun1+8,NovSun1+15)</f>
        <v>45971</v>
      </c>
      <c r="D6" s="8">
        <f>IF(DAY(NovSun1)=1,NovSun1+9,NovSun1+16)</f>
        <v>45972</v>
      </c>
      <c r="E6" s="8">
        <f>IF(DAY(NovSun1)=1,NovSun1+10,NovSun1+17)</f>
        <v>45973</v>
      </c>
      <c r="F6" s="8">
        <f>IF(DAY(NovSun1)=1,NovSun1+11,NovSun1+18)</f>
        <v>45974</v>
      </c>
      <c r="G6" s="8">
        <f>IF(DAY(NovSun1)=1,NovSun1+12,NovSun1+19)</f>
        <v>45975</v>
      </c>
      <c r="H6" s="8">
        <f>IF(DAY(NovSun1)=1,NovSun1+13,NovSun1+20)</f>
        <v>45976</v>
      </c>
      <c r="I6" s="8">
        <f>IF(DAY(NovSun1)=1,NovSun1+14,NovSun1+21)</f>
        <v>45977</v>
      </c>
      <c r="J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IF(DAY(NovSun1)=1,NovSun1+15,NovSun1+22)</f>
        <v>45978</v>
      </c>
      <c r="D7" s="8">
        <f>IF(DAY(NovSun1)=1,NovSun1+16,NovSun1+23)</f>
        <v>45979</v>
      </c>
      <c r="E7" s="8">
        <f>IF(DAY(NovSun1)=1,NovSun1+17,NovSun1+24)</f>
        <v>45980</v>
      </c>
      <c r="F7" s="8">
        <f>IF(DAY(NovSun1)=1,NovSun1+18,NovSun1+25)</f>
        <v>45981</v>
      </c>
      <c r="G7" s="8">
        <f>IF(DAY(NovSun1)=1,NovSun1+19,NovSun1+26)</f>
        <v>45982</v>
      </c>
      <c r="H7" s="8">
        <f>IF(DAY(NovSun1)=1,NovSun1+20,NovSun1+27)</f>
        <v>45983</v>
      </c>
      <c r="I7" s="8">
        <f>IF(DAY(NovSun1)=1,NovSun1+21,NovSun1+28)</f>
        <v>45984</v>
      </c>
      <c r="J7" s="3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IF(DAY(NovSun1)=1,NovSun1+22,NovSun1+29)</f>
        <v>45985</v>
      </c>
      <c r="D8" s="8">
        <f>IF(DAY(NovSun1)=1,NovSun1+23,NovSun1+30)</f>
        <v>45986</v>
      </c>
      <c r="E8" s="8">
        <f>IF(DAY(NovSun1)=1,NovSun1+24,NovSun1+31)</f>
        <v>45987</v>
      </c>
      <c r="F8" s="8">
        <f>IF(DAY(NovSun1)=1,NovSun1+25,NovSun1+32)</f>
        <v>45988</v>
      </c>
      <c r="G8" s="8">
        <f>IF(DAY(NovSun1)=1,NovSun1+26,NovSun1+33)</f>
        <v>45989</v>
      </c>
      <c r="H8" s="8">
        <f>IF(DAY(NovSun1)=1,NovSun1+27,NovSun1+34)</f>
        <v>45990</v>
      </c>
      <c r="I8" s="8">
        <f>IF(DAY(NovSun1)=1,NovSun1+28,NovSun1+35)</f>
        <v>45991</v>
      </c>
      <c r="J8" s="3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IF(DAY(NovSun1)=1,NovSun1+29,NovSun1+36)</f>
        <v>45992</v>
      </c>
      <c r="D9" s="8">
        <f>IF(DAY(NovSun1)=1,NovSun1+30,NovSun1+37)</f>
        <v>45993</v>
      </c>
      <c r="E9" s="8">
        <f>IF(DAY(NovSun1)=1,NovSun1+31,NovSun1+38)</f>
        <v>45994</v>
      </c>
      <c r="F9" s="8">
        <f>IF(DAY(NovSun1)=1,NovSun1+32,NovSun1+39)</f>
        <v>45995</v>
      </c>
      <c r="G9" s="8">
        <f>IF(DAY(NovSun1)=1,NovSun1+33,NovSun1+40)</f>
        <v>45996</v>
      </c>
      <c r="H9" s="8">
        <f>IF(DAY(NovSun1)=1,NovSun1+34,NovSun1+41)</f>
        <v>45997</v>
      </c>
      <c r="I9" s="8">
        <f>IF(DAY(NovSun1)=1,NovSun1+35,NovSun1+42)</f>
        <v>45998</v>
      </c>
      <c r="J9" s="3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5" priority="4" stopIfTrue="1">
      <formula>DAY(C4)&gt;8</formula>
    </cfRule>
  </conditionalFormatting>
  <conditionalFormatting sqref="C4:I9">
    <cfRule type="expression" dxfId="4" priority="5">
      <formula>VLOOKUP(DAY(C4),AssignmentDays,1,FALSE)=DAY(C4)</formula>
    </cfRule>
  </conditionalFormatting>
  <conditionalFormatting sqref="C8:I10">
    <cfRule type="expression" dxfId="3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B70D50"/>
    <pageSetUpPr fitToPage="1"/>
  </sheetPr>
  <dimension ref="A1:R34"/>
  <sheetViews>
    <sheetView showGridLines="0" topLeftCell="A3" zoomScaleNormal="100" zoomScalePageLayoutView="84" workbookViewId="0">
      <selection activeCell="Q16" sqref="Q16:R16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0" t="s">
        <v>1</v>
      </c>
      <c r="P2" s="91">
        <v>2013</v>
      </c>
      <c r="Q2" s="91"/>
      <c r="R2" s="2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1"/>
      <c r="K3" s="1"/>
      <c r="L3" s="1"/>
      <c r="N3" s="3"/>
      <c r="O3" s="92"/>
      <c r="P3" s="93"/>
      <c r="Q3" s="93"/>
      <c r="R3" s="25"/>
    </row>
    <row r="4" spans="1:18" ht="18" customHeight="1" x14ac:dyDescent="0.25">
      <c r="A4" s="2"/>
      <c r="B4" s="76"/>
      <c r="C4" s="8">
        <f>IF(DAY(DecSun1)=1,DecSun1-6,DecSun1+1)</f>
        <v>45992</v>
      </c>
      <c r="D4" s="8">
        <f>IF(DAY(DecSun1)=1,DecSun1-5,DecSun1+2)</f>
        <v>45993</v>
      </c>
      <c r="E4" s="8">
        <f>IF(DAY(DecSun1)=1,DecSun1-4,DecSun1+3)</f>
        <v>45994</v>
      </c>
      <c r="F4" s="8">
        <f>IF(DAY(DecSun1)=1,DecSun1-3,DecSun1+4)</f>
        <v>45995</v>
      </c>
      <c r="G4" s="8">
        <f>IF(DAY(DecSun1)=1,DecSun1-2,DecSun1+5)</f>
        <v>45996</v>
      </c>
      <c r="H4" s="8">
        <f>IF(DAY(DecSun1)=1,DecSun1-1,DecSun1+6)</f>
        <v>45997</v>
      </c>
      <c r="I4" s="8">
        <f>IF(DAY(DecSun1)=1,DecSun1,DecSun1+7)</f>
        <v>45998</v>
      </c>
      <c r="J4" s="8"/>
      <c r="K4" s="8"/>
      <c r="L4" s="8"/>
      <c r="N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IF(DAY(DecSun1)=1,DecSun1+1,DecSun1+8)</f>
        <v>45999</v>
      </c>
      <c r="D5" s="8">
        <f>IF(DAY(DecSun1)=1,DecSun1+2,DecSun1+9)</f>
        <v>46000</v>
      </c>
      <c r="E5" s="8">
        <f>IF(DAY(DecSun1)=1,DecSun1+3,DecSun1+10)</f>
        <v>46001</v>
      </c>
      <c r="F5" s="8">
        <f>IF(DAY(DecSun1)=1,DecSun1+4,DecSun1+11)</f>
        <v>46002</v>
      </c>
      <c r="G5" s="8">
        <f>IF(DAY(DecSun1)=1,DecSun1+5,DecSun1+12)</f>
        <v>46003</v>
      </c>
      <c r="H5" s="8">
        <f>IF(DAY(DecSun1)=1,DecSun1+6,DecSun1+13)</f>
        <v>46004</v>
      </c>
      <c r="I5" s="8">
        <f>IF(DAY(DecSun1)=1,DecSun1+7,DecSun1+14)</f>
        <v>46005</v>
      </c>
      <c r="J5" s="8"/>
      <c r="K5" s="8"/>
      <c r="L5" s="8"/>
      <c r="N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IF(DAY(DecSun1)=1,DecSun1+8,DecSun1+15)</f>
        <v>46006</v>
      </c>
      <c r="D6" s="8">
        <f>IF(DAY(DecSun1)=1,DecSun1+9,DecSun1+16)</f>
        <v>46007</v>
      </c>
      <c r="E6" s="8">
        <f>IF(DAY(DecSun1)=1,DecSun1+10,DecSun1+17)</f>
        <v>46008</v>
      </c>
      <c r="F6" s="8">
        <f>IF(DAY(DecSun1)=1,DecSun1+11,DecSun1+18)</f>
        <v>46009</v>
      </c>
      <c r="G6" s="8">
        <f>IF(DAY(DecSun1)=1,DecSun1+12,DecSun1+19)</f>
        <v>46010</v>
      </c>
      <c r="H6" s="8">
        <f>IF(DAY(DecSun1)=1,DecSun1+13,DecSun1+20)</f>
        <v>46011</v>
      </c>
      <c r="I6" s="8">
        <f>IF(DAY(DecSun1)=1,DecSun1+14,DecSun1+21)</f>
        <v>46012</v>
      </c>
      <c r="J6" s="8"/>
      <c r="K6" s="8"/>
      <c r="L6" s="8"/>
      <c r="N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IF(DAY(DecSun1)=1,DecSun1+15,DecSun1+22)</f>
        <v>46013</v>
      </c>
      <c r="D7" s="8">
        <f>IF(DAY(DecSun1)=1,DecSun1+16,DecSun1+23)</f>
        <v>46014</v>
      </c>
      <c r="E7" s="8">
        <f>IF(DAY(DecSun1)=1,DecSun1+17,DecSun1+24)</f>
        <v>46015</v>
      </c>
      <c r="F7" s="8">
        <f>IF(DAY(DecSun1)=1,DecSun1+18,DecSun1+25)</f>
        <v>46016</v>
      </c>
      <c r="G7" s="8">
        <f>IF(DAY(DecSun1)=1,DecSun1+19,DecSun1+26)</f>
        <v>46017</v>
      </c>
      <c r="H7" s="8">
        <f>IF(DAY(DecSun1)=1,DecSun1+20,DecSun1+27)</f>
        <v>46018</v>
      </c>
      <c r="I7" s="8">
        <f>IF(DAY(DecSun1)=1,DecSun1+21,DecSun1+28)</f>
        <v>46019</v>
      </c>
      <c r="J7" s="8"/>
      <c r="K7" s="8"/>
      <c r="L7" s="8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IF(DAY(DecSun1)=1,DecSun1+22,DecSun1+29)</f>
        <v>46020</v>
      </c>
      <c r="D8" s="8">
        <f>IF(DAY(DecSun1)=1,DecSun1+23,DecSun1+30)</f>
        <v>46021</v>
      </c>
      <c r="E8" s="8">
        <f>IF(DAY(DecSun1)=1,DecSun1+24,DecSun1+31)</f>
        <v>46022</v>
      </c>
      <c r="F8" s="8">
        <f>IF(DAY(DecSun1)=1,DecSun1+25,DecSun1+32)</f>
        <v>46023</v>
      </c>
      <c r="G8" s="8">
        <f>IF(DAY(DecSun1)=1,DecSun1+26,DecSun1+33)</f>
        <v>46024</v>
      </c>
      <c r="H8" s="8">
        <f>IF(DAY(DecSun1)=1,DecSun1+27,DecSun1+34)</f>
        <v>46025</v>
      </c>
      <c r="I8" s="8">
        <f>IF(DAY(DecSun1)=1,DecSun1+28,DecSun1+35)</f>
        <v>46026</v>
      </c>
      <c r="J8" s="8"/>
      <c r="K8" s="8"/>
      <c r="L8" s="8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IF(DAY(DecSun1)=1,DecSun1+29,DecSun1+36)</f>
        <v>46027</v>
      </c>
      <c r="D9" s="8">
        <f>IF(DAY(DecSun1)=1,DecSun1+30,DecSun1+37)</f>
        <v>46028</v>
      </c>
      <c r="E9" s="8">
        <f>IF(DAY(DecSun1)=1,DecSun1+31,DecSun1+38)</f>
        <v>46029</v>
      </c>
      <c r="F9" s="8">
        <f>IF(DAY(DecSun1)=1,DecSun1+32,DecSun1+39)</f>
        <v>46030</v>
      </c>
      <c r="G9" s="8">
        <f>IF(DAY(DecSun1)=1,DecSun1+33,DecSun1+40)</f>
        <v>46031</v>
      </c>
      <c r="H9" s="8">
        <f>IF(DAY(DecSun1)=1,DecSun1+34,DecSun1+41)</f>
        <v>46032</v>
      </c>
      <c r="I9" s="8">
        <f>IF(DAY(DecSun1)=1,DecSun1+35,DecSun1+42)</f>
        <v>46033</v>
      </c>
      <c r="J9" s="8"/>
      <c r="K9" s="8"/>
      <c r="L9" s="8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  <row r="34" spans="2:18" ht="16.5" customHeight="1" x14ac:dyDescent="0.25">
      <c r="O34" s="29"/>
      <c r="P34" s="29"/>
      <c r="Q34" s="29"/>
      <c r="R34" s="29"/>
    </row>
  </sheetData>
  <mergeCells count="147">
    <mergeCell ref="Q10:R10"/>
    <mergeCell ref="B11:N12"/>
    <mergeCell ref="Q11:R11"/>
    <mergeCell ref="Q12:R12"/>
    <mergeCell ref="C13:D13"/>
    <mergeCell ref="E13:F13"/>
    <mergeCell ref="G13:H13"/>
    <mergeCell ref="M13:N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I13:J13"/>
    <mergeCell ref="K13:L13"/>
    <mergeCell ref="O7:O9"/>
    <mergeCell ref="C14:D14"/>
    <mergeCell ref="E14:F14"/>
    <mergeCell ref="G14:H14"/>
    <mergeCell ref="M14:N14"/>
    <mergeCell ref="Q14:R14"/>
    <mergeCell ref="C15:D15"/>
    <mergeCell ref="E15:F15"/>
    <mergeCell ref="G15:H15"/>
    <mergeCell ref="M15:N15"/>
    <mergeCell ref="Q15:R15"/>
    <mergeCell ref="I14:J14"/>
    <mergeCell ref="I15:J15"/>
    <mergeCell ref="O13:O15"/>
    <mergeCell ref="Q17:R17"/>
    <mergeCell ref="C18:D18"/>
    <mergeCell ref="E18:F18"/>
    <mergeCell ref="G18:H18"/>
    <mergeCell ref="M18:N18"/>
    <mergeCell ref="Q18:R18"/>
    <mergeCell ref="C16:D16"/>
    <mergeCell ref="E16:F16"/>
    <mergeCell ref="G16:H16"/>
    <mergeCell ref="M16:N16"/>
    <mergeCell ref="O16:O18"/>
    <mergeCell ref="Q16:R16"/>
    <mergeCell ref="C17:D17"/>
    <mergeCell ref="E17:F17"/>
    <mergeCell ref="G17:H17"/>
    <mergeCell ref="M17:N17"/>
    <mergeCell ref="I16:J16"/>
    <mergeCell ref="I17:J17"/>
    <mergeCell ref="I18:J18"/>
    <mergeCell ref="C19:D19"/>
    <mergeCell ref="E19:F19"/>
    <mergeCell ref="G19:H19"/>
    <mergeCell ref="M19:N19"/>
    <mergeCell ref="Q19:R19"/>
    <mergeCell ref="C20:D20"/>
    <mergeCell ref="E20:F20"/>
    <mergeCell ref="G20:H20"/>
    <mergeCell ref="M20:N20"/>
    <mergeCell ref="Q20:R20"/>
    <mergeCell ref="I19:J19"/>
    <mergeCell ref="I20:J20"/>
    <mergeCell ref="O19:O21"/>
    <mergeCell ref="Q22:R22"/>
    <mergeCell ref="C23:D23"/>
    <mergeCell ref="E23:F23"/>
    <mergeCell ref="G23:H23"/>
    <mergeCell ref="M23:N23"/>
    <mergeCell ref="Q23:R23"/>
    <mergeCell ref="C21:D21"/>
    <mergeCell ref="E21:F21"/>
    <mergeCell ref="G21:H21"/>
    <mergeCell ref="M21:N21"/>
    <mergeCell ref="Q21:R21"/>
    <mergeCell ref="C22:D22"/>
    <mergeCell ref="E22:F22"/>
    <mergeCell ref="G22:H22"/>
    <mergeCell ref="M22:N22"/>
    <mergeCell ref="I21:J21"/>
    <mergeCell ref="I22:J22"/>
    <mergeCell ref="M25:N25"/>
    <mergeCell ref="Q25:R25"/>
    <mergeCell ref="C26:D26"/>
    <mergeCell ref="E26:F26"/>
    <mergeCell ref="G26:H26"/>
    <mergeCell ref="M26:N26"/>
    <mergeCell ref="Q26:R26"/>
    <mergeCell ref="C27:D27"/>
    <mergeCell ref="E27:F27"/>
    <mergeCell ref="G27:H27"/>
    <mergeCell ref="M27:N27"/>
    <mergeCell ref="Q27:R27"/>
    <mergeCell ref="O23:O26"/>
    <mergeCell ref="C24:D24"/>
    <mergeCell ref="E24:F24"/>
    <mergeCell ref="G24:H24"/>
    <mergeCell ref="M24:N24"/>
    <mergeCell ref="Q24:R24"/>
    <mergeCell ref="C25:D25"/>
    <mergeCell ref="E25:F25"/>
    <mergeCell ref="G25:H25"/>
    <mergeCell ref="I23:J23"/>
    <mergeCell ref="I24:J24"/>
    <mergeCell ref="I25:J25"/>
    <mergeCell ref="C30:D30"/>
    <mergeCell ref="E30:F30"/>
    <mergeCell ref="G30:H30"/>
    <mergeCell ref="M30:N30"/>
    <mergeCell ref="Q30:R30"/>
    <mergeCell ref="C28:D28"/>
    <mergeCell ref="E28:F28"/>
    <mergeCell ref="G28:H28"/>
    <mergeCell ref="M28:N28"/>
    <mergeCell ref="Q28:R28"/>
    <mergeCell ref="C29:D29"/>
    <mergeCell ref="E29:F29"/>
    <mergeCell ref="G29:H29"/>
    <mergeCell ref="M29:N29"/>
    <mergeCell ref="I30:J30"/>
    <mergeCell ref="I26:J26"/>
    <mergeCell ref="I27:J27"/>
    <mergeCell ref="I28:J28"/>
    <mergeCell ref="I29:J29"/>
    <mergeCell ref="C33:D33"/>
    <mergeCell ref="E33:F33"/>
    <mergeCell ref="G33:H33"/>
    <mergeCell ref="M33:N33"/>
    <mergeCell ref="Q33:R33"/>
    <mergeCell ref="C31:D31"/>
    <mergeCell ref="E31:F31"/>
    <mergeCell ref="G31:H31"/>
    <mergeCell ref="M31:N31"/>
    <mergeCell ref="Q31:R31"/>
    <mergeCell ref="C32:D32"/>
    <mergeCell ref="E32:F32"/>
    <mergeCell ref="G32:H32"/>
    <mergeCell ref="M32:N32"/>
    <mergeCell ref="Q32:R32"/>
    <mergeCell ref="I31:J31"/>
    <mergeCell ref="I32:J32"/>
    <mergeCell ref="I33:J33"/>
    <mergeCell ref="O27:O32"/>
    <mergeCell ref="Q29:R29"/>
  </mergeCells>
  <conditionalFormatting sqref="C4:H4 J4:L4">
    <cfRule type="expression" dxfId="2" priority="3" stopIfTrue="1">
      <formula>DAY(C4)&gt;8</formula>
    </cfRule>
  </conditionalFormatting>
  <conditionalFormatting sqref="C4:L9">
    <cfRule type="expression" dxfId="1" priority="4">
      <formula>VLOOKUP(DAY(C4),AssignmentDays,1,FALSE)=DAY(C4)</formula>
    </cfRule>
  </conditionalFormatting>
  <conditionalFormatting sqref="C8:L9 C10:M10">
    <cfRule type="expression" dxfId="0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70D50"/>
    <pageSetUpPr fitToPage="1"/>
  </sheetPr>
  <dimension ref="A1:R33"/>
  <sheetViews>
    <sheetView showGridLines="0" zoomScaleNormal="100" zoomScalePageLayoutView="84" workbookViewId="0">
      <selection activeCell="B14" sqref="B14:N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16</v>
      </c>
      <c r="C2" s="21"/>
      <c r="D2" s="21"/>
      <c r="E2" s="21"/>
      <c r="F2" s="21"/>
      <c r="G2" s="21"/>
      <c r="H2" s="21"/>
      <c r="I2" s="21"/>
      <c r="J2" s="22"/>
      <c r="K2" s="29"/>
      <c r="L2" s="29"/>
      <c r="M2" s="29"/>
      <c r="N2" s="29"/>
      <c r="O2" s="90" t="s">
        <v>1</v>
      </c>
      <c r="P2" s="91">
        <v>2013</v>
      </c>
      <c r="Q2" s="91"/>
      <c r="R2" s="23"/>
    </row>
    <row r="3" spans="1:18" ht="21" customHeight="1" x14ac:dyDescent="0.25">
      <c r="A3" s="2"/>
      <c r="B3" s="76"/>
      <c r="C3" s="45" t="s">
        <v>2</v>
      </c>
      <c r="D3" s="45" t="s">
        <v>3</v>
      </c>
      <c r="E3" s="45" t="s">
        <v>4</v>
      </c>
      <c r="F3" s="45" t="s">
        <v>3</v>
      </c>
      <c r="G3" s="45" t="s">
        <v>5</v>
      </c>
      <c r="H3" s="45" t="s">
        <v>6</v>
      </c>
      <c r="I3" s="45" t="s">
        <v>6</v>
      </c>
      <c r="J3" s="24"/>
      <c r="K3" s="29"/>
      <c r="L3" s="29"/>
      <c r="M3" s="29"/>
      <c r="N3" s="29"/>
      <c r="O3" s="92"/>
      <c r="P3" s="93"/>
      <c r="Q3" s="93"/>
      <c r="R3" s="25"/>
    </row>
    <row r="4" spans="1:18" ht="18" customHeight="1" x14ac:dyDescent="0.25">
      <c r="A4" s="2"/>
      <c r="B4" s="76"/>
      <c r="C4" s="46">
        <f>IF(DAY(FebSun1)=1,FebSun1-6,FebSun1+1)</f>
        <v>45684</v>
      </c>
      <c r="D4" s="46">
        <f>IF(DAY(FebSun1)=1,FebSun1-5,FebSun1+2)</f>
        <v>45685</v>
      </c>
      <c r="E4" s="46">
        <f>IF(DAY(FebSun1)=1,FebSun1-4,FebSun1+3)</f>
        <v>45686</v>
      </c>
      <c r="F4" s="46">
        <f>IF(DAY(FebSun1)=1,FebSun1-3,FebSun1+4)</f>
        <v>45687</v>
      </c>
      <c r="G4" s="46">
        <f>IF(DAY(FebSun1)=1,FebSun1-2,FebSun1+5)</f>
        <v>45688</v>
      </c>
      <c r="H4" s="46">
        <f>IF(DAY(FebSun1)=1,FebSun1-1,FebSun1+6)</f>
        <v>45689</v>
      </c>
      <c r="I4" s="46">
        <f>IF(DAY(FebSun1)=1,FebSun1,FebSun1+7)</f>
        <v>45690</v>
      </c>
      <c r="J4" s="24"/>
      <c r="K4" s="29"/>
      <c r="L4" s="29"/>
      <c r="M4" s="29"/>
      <c r="N4" s="29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46">
        <f>IF(DAY(FebSun1)=1,FebSun1+1,FebSun1+8)</f>
        <v>45691</v>
      </c>
      <c r="D5" s="46">
        <f>IF(DAY(FebSun1)=1,FebSun1+2,FebSun1+9)</f>
        <v>45692</v>
      </c>
      <c r="E5" s="46">
        <f>IF(DAY(FebSun1)=1,FebSun1+3,FebSun1+10)</f>
        <v>45693</v>
      </c>
      <c r="F5" s="46">
        <f>IF(DAY(FebSun1)=1,FebSun1+4,FebSun1+11)</f>
        <v>45694</v>
      </c>
      <c r="G5" s="46">
        <f>IF(DAY(FebSun1)=1,FebSun1+5,FebSun1+12)</f>
        <v>45695</v>
      </c>
      <c r="H5" s="46">
        <f>IF(DAY(FebSun1)=1,FebSun1+6,FebSun1+13)</f>
        <v>45696</v>
      </c>
      <c r="I5" s="46">
        <f>IF(DAY(FebSun1)=1,FebSun1+7,FebSun1+14)</f>
        <v>45697</v>
      </c>
      <c r="J5" s="24"/>
      <c r="K5" s="29"/>
      <c r="L5" s="29"/>
      <c r="M5" s="29"/>
      <c r="N5" s="29"/>
      <c r="O5" s="84"/>
      <c r="P5" s="18"/>
      <c r="Q5" s="71"/>
      <c r="R5" s="72"/>
    </row>
    <row r="6" spans="1:18" ht="18" customHeight="1" x14ac:dyDescent="0.25">
      <c r="A6" s="2"/>
      <c r="B6" s="76"/>
      <c r="C6" s="46">
        <f>IF(DAY(FebSun1)=1,FebSun1+8,FebSun1+15)</f>
        <v>45698</v>
      </c>
      <c r="D6" s="46">
        <f>IF(DAY(FebSun1)=1,FebSun1+9,FebSun1+16)</f>
        <v>45699</v>
      </c>
      <c r="E6" s="46">
        <f>IF(DAY(FebSun1)=1,FebSun1+10,FebSun1+17)</f>
        <v>45700</v>
      </c>
      <c r="F6" s="46">
        <f>IF(DAY(FebSun1)=1,FebSun1+11,FebSun1+18)</f>
        <v>45701</v>
      </c>
      <c r="G6" s="46">
        <f>IF(DAY(FebSun1)=1,FebSun1+12,FebSun1+19)</f>
        <v>45702</v>
      </c>
      <c r="H6" s="46">
        <f>IF(DAY(FebSun1)=1,FebSun1+13,FebSun1+20)</f>
        <v>45703</v>
      </c>
      <c r="I6" s="46">
        <f>IF(DAY(FebSun1)=1,FebSun1+14,FebSun1+21)</f>
        <v>45704</v>
      </c>
      <c r="J6" s="24"/>
      <c r="K6" s="29"/>
      <c r="L6" s="29"/>
      <c r="M6" s="29"/>
      <c r="N6" s="29"/>
      <c r="O6" s="84"/>
      <c r="P6" s="19"/>
      <c r="Q6" s="96"/>
      <c r="R6" s="97"/>
    </row>
    <row r="7" spans="1:18" ht="18" customHeight="1" x14ac:dyDescent="0.25">
      <c r="A7" s="2"/>
      <c r="B7" s="76"/>
      <c r="C7" s="46">
        <f>IF(DAY(FebSun1)=1,FebSun1+15,FebSun1+22)</f>
        <v>45705</v>
      </c>
      <c r="D7" s="46">
        <f>IF(DAY(FebSun1)=1,FebSun1+16,FebSun1+23)</f>
        <v>45706</v>
      </c>
      <c r="E7" s="46">
        <f>IF(DAY(FebSun1)=1,FebSun1+17,FebSun1+24)</f>
        <v>45707</v>
      </c>
      <c r="F7" s="46">
        <f>IF(DAY(FebSun1)=1,FebSun1+18,FebSun1+25)</f>
        <v>45708</v>
      </c>
      <c r="G7" s="46">
        <f>IF(DAY(FebSun1)=1,FebSun1+19,FebSun1+26)</f>
        <v>45709</v>
      </c>
      <c r="H7" s="46">
        <f>IF(DAY(FebSun1)=1,FebSun1+20,FebSun1+27)</f>
        <v>45710</v>
      </c>
      <c r="I7" s="46">
        <f>IF(DAY(FebSun1)=1,FebSun1+21,FebSun1+28)</f>
        <v>45711</v>
      </c>
      <c r="J7" s="24"/>
      <c r="K7" s="29"/>
      <c r="L7" s="29"/>
      <c r="M7" s="29"/>
      <c r="N7" s="29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46">
        <f>IF(DAY(FebSun1)=1,FebSun1+22,FebSun1+29)</f>
        <v>45712</v>
      </c>
      <c r="D8" s="46">
        <f>IF(DAY(FebSun1)=1,FebSun1+23,FebSun1+30)</f>
        <v>45713</v>
      </c>
      <c r="E8" s="46">
        <f>IF(DAY(FebSun1)=1,FebSun1+24,FebSun1+31)</f>
        <v>45714</v>
      </c>
      <c r="F8" s="46">
        <f>IF(DAY(FebSun1)=1,FebSun1+25,FebSun1+32)</f>
        <v>45715</v>
      </c>
      <c r="G8" s="46">
        <f>IF(DAY(FebSun1)=1,FebSun1+26,FebSun1+33)</f>
        <v>45716</v>
      </c>
      <c r="H8" s="46">
        <f>IF(DAY(FebSun1)=1,FebSun1+27,FebSun1+34)</f>
        <v>45717</v>
      </c>
      <c r="I8" s="46">
        <f>IF(DAY(FebSun1)=1,FebSun1+28,FebSun1+35)</f>
        <v>45718</v>
      </c>
      <c r="J8" s="24"/>
      <c r="K8" s="29"/>
      <c r="L8" s="29"/>
      <c r="M8" s="29"/>
      <c r="N8" s="29"/>
      <c r="O8" s="103"/>
      <c r="P8" s="18"/>
      <c r="Q8" s="71"/>
      <c r="R8" s="72"/>
    </row>
    <row r="9" spans="1:18" ht="18" customHeight="1" x14ac:dyDescent="0.25">
      <c r="A9" s="2"/>
      <c r="B9" s="76"/>
      <c r="C9" s="46">
        <f>IF(DAY(FebSun1)=1,FebSun1+29,FebSun1+36)</f>
        <v>45719</v>
      </c>
      <c r="D9" s="46">
        <f>IF(DAY(FebSun1)=1,FebSun1+30,FebSun1+37)</f>
        <v>45720</v>
      </c>
      <c r="E9" s="46">
        <f>IF(DAY(FebSun1)=1,FebSun1+31,FebSun1+38)</f>
        <v>45721</v>
      </c>
      <c r="F9" s="46">
        <f>IF(DAY(FebSun1)=1,FebSun1+32,FebSun1+39)</f>
        <v>45722</v>
      </c>
      <c r="G9" s="46">
        <f>IF(DAY(FebSun1)=1,FebSun1+33,FebSun1+40)</f>
        <v>45723</v>
      </c>
      <c r="H9" s="46">
        <f>IF(DAY(FebSun1)=1,FebSun1+34,FebSun1+41)</f>
        <v>45724</v>
      </c>
      <c r="I9" s="46">
        <f>IF(DAY(FebSun1)=1,FebSun1+35,FebSun1+42)</f>
        <v>45725</v>
      </c>
      <c r="J9" s="24"/>
      <c r="K9" s="29"/>
      <c r="L9" s="29"/>
      <c r="M9" s="29"/>
      <c r="N9" s="29"/>
      <c r="O9" s="104"/>
      <c r="P9" s="19"/>
      <c r="Q9" s="96"/>
      <c r="R9" s="97"/>
    </row>
    <row r="10" spans="1:18" ht="18" customHeight="1" x14ac:dyDescent="0.25">
      <c r="A10" s="2"/>
      <c r="B10" s="77"/>
      <c r="C10" s="26"/>
      <c r="D10" s="26"/>
      <c r="E10" s="26"/>
      <c r="F10" s="26"/>
      <c r="G10" s="26"/>
      <c r="H10" s="26"/>
      <c r="I10" s="26"/>
      <c r="J10" s="27"/>
      <c r="K10" s="29"/>
      <c r="L10" s="29"/>
      <c r="M10" s="29"/>
      <c r="N10" s="29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32" priority="4" stopIfTrue="1">
      <formula>DAY(C4)&gt;8</formula>
    </cfRule>
  </conditionalFormatting>
  <conditionalFormatting sqref="C4:I9">
    <cfRule type="expression" dxfId="31" priority="5">
      <formula>VLOOKUP(DAY(C4),AssignmentDays,1,FALSE)=DAY(C4)</formula>
    </cfRule>
  </conditionalFormatting>
  <conditionalFormatting sqref="C8:I10">
    <cfRule type="expression" dxfId="30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70D50"/>
    <pageSetUpPr fitToPage="1"/>
  </sheetPr>
  <dimension ref="A1:R33"/>
  <sheetViews>
    <sheetView showGridLines="0" topLeftCell="A2" zoomScaleNormal="100" zoomScalePageLayoutView="84" workbookViewId="0">
      <selection activeCell="B14" sqref="B14:N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17</v>
      </c>
      <c r="C2" s="9"/>
      <c r="D2" s="9"/>
      <c r="E2" s="9"/>
      <c r="F2" s="9"/>
      <c r="G2" s="9"/>
      <c r="H2" s="9"/>
      <c r="I2" s="9"/>
      <c r="J2" s="10"/>
      <c r="O2" s="90" t="s">
        <v>1</v>
      </c>
      <c r="P2" s="91">
        <v>2013</v>
      </c>
      <c r="Q2" s="91"/>
      <c r="R2" s="2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O3" s="92"/>
      <c r="P3" s="93"/>
      <c r="Q3" s="93"/>
      <c r="R3" s="25"/>
    </row>
    <row r="4" spans="1:18" ht="18" customHeight="1" x14ac:dyDescent="0.25">
      <c r="A4" s="2"/>
      <c r="B4" s="76"/>
      <c r="C4" s="8">
        <f>IF(DAY(MarSun1)=1,MarSun1-6,MarSun1+1)</f>
        <v>45712</v>
      </c>
      <c r="D4" s="8">
        <f>IF(DAY(MarSun1)=1,MarSun1-5,MarSun1+2)</f>
        <v>45713</v>
      </c>
      <c r="E4" s="8">
        <f>IF(DAY(MarSun1)=1,MarSun1-4,MarSun1+3)</f>
        <v>45714</v>
      </c>
      <c r="F4" s="8">
        <f>IF(DAY(MarSun1)=1,MarSun1-3,MarSun1+4)</f>
        <v>45715</v>
      </c>
      <c r="G4" s="8">
        <f>IF(DAY(MarSun1)=1,MarSun1-2,MarSun1+5)</f>
        <v>45716</v>
      </c>
      <c r="H4" s="8">
        <f>IF(DAY(MarSun1)=1,MarSun1-1,MarSun1+6)</f>
        <v>45717</v>
      </c>
      <c r="I4" s="8">
        <f>IF(DAY(MarSun1)=1,MarSun1,MarSun1+7)</f>
        <v>45718</v>
      </c>
      <c r="J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IF(DAY(MarSun1)=1,MarSun1+1,MarSun1+8)</f>
        <v>45719</v>
      </c>
      <c r="D5" s="8">
        <f>IF(DAY(MarSun1)=1,MarSun1+2,MarSun1+9)</f>
        <v>45720</v>
      </c>
      <c r="E5" s="8">
        <f>IF(DAY(MarSun1)=1,MarSun1+3,MarSun1+10)</f>
        <v>45721</v>
      </c>
      <c r="F5" s="8">
        <f>IF(DAY(MarSun1)=1,MarSun1+4,MarSun1+11)</f>
        <v>45722</v>
      </c>
      <c r="G5" s="8">
        <f>IF(DAY(MarSun1)=1,MarSun1+5,MarSun1+12)</f>
        <v>45723</v>
      </c>
      <c r="H5" s="8">
        <f>IF(DAY(MarSun1)=1,MarSun1+6,MarSun1+13)</f>
        <v>45724</v>
      </c>
      <c r="I5" s="8">
        <f>IF(DAY(MarSun1)=1,MarSun1+7,MarSun1+14)</f>
        <v>45725</v>
      </c>
      <c r="J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IF(DAY(MarSun1)=1,MarSun1+8,MarSun1+15)</f>
        <v>45726</v>
      </c>
      <c r="D6" s="8">
        <f>IF(DAY(MarSun1)=1,MarSun1+9,MarSun1+16)</f>
        <v>45727</v>
      </c>
      <c r="E6" s="8">
        <f>IF(DAY(MarSun1)=1,MarSun1+10,MarSun1+17)</f>
        <v>45728</v>
      </c>
      <c r="F6" s="8">
        <f>IF(DAY(MarSun1)=1,MarSun1+11,MarSun1+18)</f>
        <v>45729</v>
      </c>
      <c r="G6" s="8">
        <f>IF(DAY(MarSun1)=1,MarSun1+12,MarSun1+19)</f>
        <v>45730</v>
      </c>
      <c r="H6" s="8">
        <f>IF(DAY(MarSun1)=1,MarSun1+13,MarSun1+20)</f>
        <v>45731</v>
      </c>
      <c r="I6" s="8">
        <f>IF(DAY(MarSun1)=1,MarSun1+14,MarSun1+21)</f>
        <v>45732</v>
      </c>
      <c r="J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IF(DAY(MarSun1)=1,MarSun1+15,MarSun1+22)</f>
        <v>45733</v>
      </c>
      <c r="D7" s="8">
        <f>IF(DAY(MarSun1)=1,MarSun1+16,MarSun1+23)</f>
        <v>45734</v>
      </c>
      <c r="E7" s="8">
        <f>IF(DAY(MarSun1)=1,MarSun1+17,MarSun1+24)</f>
        <v>45735</v>
      </c>
      <c r="F7" s="8">
        <f>IF(DAY(MarSun1)=1,MarSun1+18,MarSun1+25)</f>
        <v>45736</v>
      </c>
      <c r="G7" s="8">
        <f>IF(DAY(MarSun1)=1,MarSun1+19,MarSun1+26)</f>
        <v>45737</v>
      </c>
      <c r="H7" s="8">
        <f>IF(DAY(MarSun1)=1,MarSun1+20,MarSun1+27)</f>
        <v>45738</v>
      </c>
      <c r="I7" s="8">
        <f>IF(DAY(MarSun1)=1,MarSun1+21,MarSun1+28)</f>
        <v>45739</v>
      </c>
      <c r="J7" s="3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IF(DAY(MarSun1)=1,MarSun1+22,MarSun1+29)</f>
        <v>45740</v>
      </c>
      <c r="D8" s="8">
        <f>IF(DAY(MarSun1)=1,MarSun1+23,MarSun1+30)</f>
        <v>45741</v>
      </c>
      <c r="E8" s="8">
        <f>IF(DAY(MarSun1)=1,MarSun1+24,MarSun1+31)</f>
        <v>45742</v>
      </c>
      <c r="F8" s="8">
        <f>IF(DAY(MarSun1)=1,MarSun1+25,MarSun1+32)</f>
        <v>45743</v>
      </c>
      <c r="G8" s="8">
        <f>IF(DAY(MarSun1)=1,MarSun1+26,MarSun1+33)</f>
        <v>45744</v>
      </c>
      <c r="H8" s="8">
        <f>IF(DAY(MarSun1)=1,MarSun1+27,MarSun1+34)</f>
        <v>45745</v>
      </c>
      <c r="I8" s="8">
        <f>IF(DAY(MarSun1)=1,MarSun1+28,MarSun1+35)</f>
        <v>45746</v>
      </c>
      <c r="J8" s="3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IF(DAY(MarSun1)=1,MarSun1+29,MarSun1+36)</f>
        <v>45747</v>
      </c>
      <c r="D9" s="8">
        <f>IF(DAY(MarSun1)=1,MarSun1+30,MarSun1+37)</f>
        <v>45748</v>
      </c>
      <c r="E9" s="8">
        <f>IF(DAY(MarSun1)=1,MarSun1+31,MarSun1+38)</f>
        <v>45749</v>
      </c>
      <c r="F9" s="8">
        <f>IF(DAY(MarSun1)=1,MarSun1+32,MarSun1+39)</f>
        <v>45750</v>
      </c>
      <c r="G9" s="8">
        <f>IF(DAY(MarSun1)=1,MarSun1+33,MarSun1+40)</f>
        <v>45751</v>
      </c>
      <c r="H9" s="8">
        <f>IF(DAY(MarSun1)=1,MarSun1+34,MarSun1+41)</f>
        <v>45752</v>
      </c>
      <c r="I9" s="8">
        <f>IF(DAY(MarSun1)=1,MarSun1+35,MarSun1+42)</f>
        <v>45753</v>
      </c>
      <c r="J9" s="3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29" priority="4" stopIfTrue="1">
      <formula>DAY(C4)&gt;8</formula>
    </cfRule>
  </conditionalFormatting>
  <conditionalFormatting sqref="C4:I9">
    <cfRule type="expression" dxfId="28" priority="5">
      <formula>VLOOKUP(DAY(C4),AssignmentDays,1,FALSE)=DAY(C4)</formula>
    </cfRule>
  </conditionalFormatting>
  <conditionalFormatting sqref="C8:I10">
    <cfRule type="expression" dxfId="27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70D50"/>
    <pageSetUpPr fitToPage="1"/>
  </sheetPr>
  <dimension ref="A1:R33"/>
  <sheetViews>
    <sheetView showGridLines="0" zoomScaleNormal="100" zoomScalePageLayoutView="84" workbookViewId="0">
      <selection activeCell="Q10" sqref="Q10:R10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18</v>
      </c>
      <c r="C2" s="9"/>
      <c r="D2" s="9"/>
      <c r="E2" s="9"/>
      <c r="F2" s="9"/>
      <c r="G2" s="9"/>
      <c r="H2" s="9"/>
      <c r="I2" s="9"/>
      <c r="J2" s="10"/>
      <c r="O2" s="90" t="s">
        <v>1</v>
      </c>
      <c r="P2" s="91">
        <v>2013</v>
      </c>
      <c r="Q2" s="91"/>
      <c r="R2" s="1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O3" s="92"/>
      <c r="P3" s="93"/>
      <c r="Q3" s="93"/>
      <c r="R3" s="14"/>
    </row>
    <row r="4" spans="1:18" ht="18" customHeight="1" x14ac:dyDescent="0.25">
      <c r="A4" s="2"/>
      <c r="B4" s="76"/>
      <c r="C4" s="8">
        <f>IF(DAY(AprSun1)=1,AprSun1-6,AprSun1+1)</f>
        <v>45747</v>
      </c>
      <c r="D4" s="8">
        <f>IF(DAY(AprSun1)=1,AprSun1-5,AprSun1+2)</f>
        <v>45748</v>
      </c>
      <c r="E4" s="8">
        <f>IF(DAY(AprSun1)=1,AprSun1-4,AprSun1+3)</f>
        <v>45749</v>
      </c>
      <c r="F4" s="8">
        <f>IF(DAY(AprSun1)=1,AprSun1-3,AprSun1+4)</f>
        <v>45750</v>
      </c>
      <c r="G4" s="8">
        <f>IF(DAY(AprSun1)=1,AprSun1-2,AprSun1+5)</f>
        <v>45751</v>
      </c>
      <c r="H4" s="8">
        <f>IF(DAY(AprSun1)=1,AprSun1-1,AprSun1+6)</f>
        <v>45752</v>
      </c>
      <c r="I4" s="8">
        <f>IF(DAY(AprSun1)=1,AprSun1,AprSun1+7)</f>
        <v>45753</v>
      </c>
      <c r="J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IF(DAY(AprSun1)=1,AprSun1+1,AprSun1+8)</f>
        <v>45754</v>
      </c>
      <c r="D5" s="8">
        <f>IF(DAY(AprSun1)=1,AprSun1+2,AprSun1+9)</f>
        <v>45755</v>
      </c>
      <c r="E5" s="8">
        <f>IF(DAY(AprSun1)=1,AprSun1+3,AprSun1+10)</f>
        <v>45756</v>
      </c>
      <c r="F5" s="8">
        <f>IF(DAY(AprSun1)=1,AprSun1+4,AprSun1+11)</f>
        <v>45757</v>
      </c>
      <c r="G5" s="8">
        <f>IF(DAY(AprSun1)=1,AprSun1+5,AprSun1+12)</f>
        <v>45758</v>
      </c>
      <c r="H5" s="8">
        <f>IF(DAY(AprSun1)=1,AprSun1+6,AprSun1+13)</f>
        <v>45759</v>
      </c>
      <c r="I5" s="8">
        <f>IF(DAY(AprSun1)=1,AprSun1+7,AprSun1+14)</f>
        <v>45760</v>
      </c>
      <c r="J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IF(DAY(AprSun1)=1,AprSun1+8,AprSun1+15)</f>
        <v>45761</v>
      </c>
      <c r="D6" s="8">
        <f>IF(DAY(AprSun1)=1,AprSun1+9,AprSun1+16)</f>
        <v>45762</v>
      </c>
      <c r="E6" s="8">
        <f>IF(DAY(AprSun1)=1,AprSun1+10,AprSun1+17)</f>
        <v>45763</v>
      </c>
      <c r="F6" s="8">
        <f>IF(DAY(AprSun1)=1,AprSun1+11,AprSun1+18)</f>
        <v>45764</v>
      </c>
      <c r="G6" s="8">
        <f>IF(DAY(AprSun1)=1,AprSun1+12,AprSun1+19)</f>
        <v>45765</v>
      </c>
      <c r="H6" s="8">
        <f>IF(DAY(AprSun1)=1,AprSun1+13,AprSun1+20)</f>
        <v>45766</v>
      </c>
      <c r="I6" s="8">
        <f>IF(DAY(AprSun1)=1,AprSun1+14,AprSun1+21)</f>
        <v>45767</v>
      </c>
      <c r="J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IF(DAY(AprSun1)=1,AprSun1+15,AprSun1+22)</f>
        <v>45768</v>
      </c>
      <c r="D7" s="8">
        <f>IF(DAY(AprSun1)=1,AprSun1+16,AprSun1+23)</f>
        <v>45769</v>
      </c>
      <c r="E7" s="8">
        <f>IF(DAY(AprSun1)=1,AprSun1+17,AprSun1+24)</f>
        <v>45770</v>
      </c>
      <c r="F7" s="8">
        <f>IF(DAY(AprSun1)=1,AprSun1+18,AprSun1+25)</f>
        <v>45771</v>
      </c>
      <c r="G7" s="8">
        <f>IF(DAY(AprSun1)=1,AprSun1+19,AprSun1+26)</f>
        <v>45772</v>
      </c>
      <c r="H7" s="8">
        <f>IF(DAY(AprSun1)=1,AprSun1+20,AprSun1+27)</f>
        <v>45773</v>
      </c>
      <c r="I7" s="8">
        <f>IF(DAY(AprSun1)=1,AprSun1+21,AprSun1+28)</f>
        <v>45774</v>
      </c>
      <c r="J7" s="3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IF(DAY(AprSun1)=1,AprSun1+22,AprSun1+29)</f>
        <v>45775</v>
      </c>
      <c r="D8" s="8">
        <f>IF(DAY(AprSun1)=1,AprSun1+23,AprSun1+30)</f>
        <v>45776</v>
      </c>
      <c r="E8" s="8">
        <f>IF(DAY(AprSun1)=1,AprSun1+24,AprSun1+31)</f>
        <v>45777</v>
      </c>
      <c r="F8" s="8">
        <f>IF(DAY(AprSun1)=1,AprSun1+25,AprSun1+32)</f>
        <v>45778</v>
      </c>
      <c r="G8" s="8">
        <f>IF(DAY(AprSun1)=1,AprSun1+26,AprSun1+33)</f>
        <v>45779</v>
      </c>
      <c r="H8" s="8">
        <f>IF(DAY(AprSun1)=1,AprSun1+27,AprSun1+34)</f>
        <v>45780</v>
      </c>
      <c r="I8" s="8">
        <f>IF(DAY(AprSun1)=1,AprSun1+28,AprSun1+35)</f>
        <v>45781</v>
      </c>
      <c r="J8" s="3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IF(DAY(AprSun1)=1,AprSun1+29,AprSun1+36)</f>
        <v>45782</v>
      </c>
      <c r="D9" s="8">
        <f>IF(DAY(AprSun1)=1,AprSun1+30,AprSun1+37)</f>
        <v>45783</v>
      </c>
      <c r="E9" s="8">
        <f>IF(DAY(AprSun1)=1,AprSun1+31,AprSun1+38)</f>
        <v>45784</v>
      </c>
      <c r="F9" s="8">
        <f>IF(DAY(AprSun1)=1,AprSun1+32,AprSun1+39)</f>
        <v>45785</v>
      </c>
      <c r="G9" s="8">
        <f>IF(DAY(AprSun1)=1,AprSun1+33,AprSun1+40)</f>
        <v>45786</v>
      </c>
      <c r="H9" s="8">
        <f>IF(DAY(AprSun1)=1,AprSun1+34,AprSun1+41)</f>
        <v>45787</v>
      </c>
      <c r="I9" s="8">
        <f>IF(DAY(AprSun1)=1,AprSun1+35,AprSun1+42)</f>
        <v>45788</v>
      </c>
      <c r="J9" s="3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26" priority="4" stopIfTrue="1">
      <formula>DAY(C4)&gt;8</formula>
    </cfRule>
  </conditionalFormatting>
  <conditionalFormatting sqref="C4:I9">
    <cfRule type="expression" dxfId="25" priority="5">
      <formula>VLOOKUP(DAY(C4),AssignmentDays,1,FALSE)=DAY(C4)</formula>
    </cfRule>
  </conditionalFormatting>
  <conditionalFormatting sqref="C8:I10">
    <cfRule type="expression" dxfId="24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70D50"/>
    <pageSetUpPr fitToPage="1"/>
  </sheetPr>
  <dimension ref="A1:R33"/>
  <sheetViews>
    <sheetView showGridLines="0" zoomScaleNormal="100" zoomScalePageLayoutView="84" workbookViewId="0">
      <selection activeCell="B14" sqref="B14:N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19</v>
      </c>
      <c r="C2" s="9"/>
      <c r="D2" s="9"/>
      <c r="E2" s="9"/>
      <c r="F2" s="9"/>
      <c r="G2" s="9"/>
      <c r="H2" s="9"/>
      <c r="I2" s="9"/>
      <c r="J2" s="10"/>
      <c r="O2" s="90" t="s">
        <v>1</v>
      </c>
      <c r="P2" s="91">
        <v>2013</v>
      </c>
      <c r="Q2" s="91"/>
      <c r="R2" s="2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O3" s="92"/>
      <c r="P3" s="93"/>
      <c r="Q3" s="93"/>
      <c r="R3" s="25"/>
    </row>
    <row r="4" spans="1:18" ht="18" customHeight="1" x14ac:dyDescent="0.25">
      <c r="A4" s="2"/>
      <c r="B4" s="76"/>
      <c r="C4" s="8">
        <f>IF(DAY(MaySun1)=1,MaySun1-6,MaySun1+1)</f>
        <v>45775</v>
      </c>
      <c r="D4" s="8">
        <f>IF(DAY(MaySun1)=1,MaySun1-5,MaySun1+2)</f>
        <v>45776</v>
      </c>
      <c r="E4" s="8">
        <f>IF(DAY(MaySun1)=1,MaySun1-4,MaySun1+3)</f>
        <v>45777</v>
      </c>
      <c r="F4" s="8">
        <f>IF(DAY(MaySun1)=1,MaySun1-3,MaySun1+4)</f>
        <v>45778</v>
      </c>
      <c r="G4" s="8">
        <f>IF(DAY(MaySun1)=1,MaySun1-2,MaySun1+5)</f>
        <v>45779</v>
      </c>
      <c r="H4" s="8">
        <f>IF(DAY(MaySun1)=1,MaySun1-1,MaySun1+6)</f>
        <v>45780</v>
      </c>
      <c r="I4" s="8">
        <f>IF(DAY(MaySun1)=1,MaySun1,MaySun1+7)</f>
        <v>45781</v>
      </c>
      <c r="J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IF(DAY(MaySun1)=1,MaySun1+1,MaySun1+8)</f>
        <v>45782</v>
      </c>
      <c r="D5" s="8">
        <f>IF(DAY(MaySun1)=1,MaySun1+2,MaySun1+9)</f>
        <v>45783</v>
      </c>
      <c r="E5" s="8">
        <f>IF(DAY(MaySun1)=1,MaySun1+3,MaySun1+10)</f>
        <v>45784</v>
      </c>
      <c r="F5" s="8">
        <f>IF(DAY(MaySun1)=1,MaySun1+4,MaySun1+11)</f>
        <v>45785</v>
      </c>
      <c r="G5" s="8">
        <f>IF(DAY(MaySun1)=1,MaySun1+5,MaySun1+12)</f>
        <v>45786</v>
      </c>
      <c r="H5" s="8">
        <f>IF(DAY(MaySun1)=1,MaySun1+6,MaySun1+13)</f>
        <v>45787</v>
      </c>
      <c r="I5" s="8">
        <f>IF(DAY(MaySun1)=1,MaySun1+7,MaySun1+14)</f>
        <v>45788</v>
      </c>
      <c r="J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IF(DAY(MaySun1)=1,MaySun1+8,MaySun1+15)</f>
        <v>45789</v>
      </c>
      <c r="D6" s="8">
        <f>IF(DAY(MaySun1)=1,MaySun1+9,MaySun1+16)</f>
        <v>45790</v>
      </c>
      <c r="E6" s="8">
        <f>IF(DAY(MaySun1)=1,MaySun1+10,MaySun1+17)</f>
        <v>45791</v>
      </c>
      <c r="F6" s="8">
        <f>IF(DAY(MaySun1)=1,MaySun1+11,MaySun1+18)</f>
        <v>45792</v>
      </c>
      <c r="G6" s="8">
        <f>IF(DAY(MaySun1)=1,MaySun1+12,MaySun1+19)</f>
        <v>45793</v>
      </c>
      <c r="H6" s="8">
        <f>IF(DAY(MaySun1)=1,MaySun1+13,MaySun1+20)</f>
        <v>45794</v>
      </c>
      <c r="I6" s="8">
        <f>IF(DAY(MaySun1)=1,MaySun1+14,MaySun1+21)</f>
        <v>45795</v>
      </c>
      <c r="J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IF(DAY(MaySun1)=1,MaySun1+15,MaySun1+22)</f>
        <v>45796</v>
      </c>
      <c r="D7" s="8">
        <f>IF(DAY(MaySun1)=1,MaySun1+16,MaySun1+23)</f>
        <v>45797</v>
      </c>
      <c r="E7" s="8">
        <f>IF(DAY(MaySun1)=1,MaySun1+17,MaySun1+24)</f>
        <v>45798</v>
      </c>
      <c r="F7" s="8">
        <f>IF(DAY(MaySun1)=1,MaySun1+18,MaySun1+25)</f>
        <v>45799</v>
      </c>
      <c r="G7" s="8">
        <f>IF(DAY(MaySun1)=1,MaySun1+19,MaySun1+26)</f>
        <v>45800</v>
      </c>
      <c r="H7" s="8">
        <f>IF(DAY(MaySun1)=1,MaySun1+20,MaySun1+27)</f>
        <v>45801</v>
      </c>
      <c r="I7" s="8">
        <f>IF(DAY(MaySun1)=1,MaySun1+21,MaySun1+28)</f>
        <v>45802</v>
      </c>
      <c r="J7" s="3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IF(DAY(MaySun1)=1,MaySun1+22,MaySun1+29)</f>
        <v>45803</v>
      </c>
      <c r="D8" s="8">
        <f>IF(DAY(MaySun1)=1,MaySun1+23,MaySun1+30)</f>
        <v>45804</v>
      </c>
      <c r="E8" s="8">
        <f>IF(DAY(MaySun1)=1,MaySun1+24,MaySun1+31)</f>
        <v>45805</v>
      </c>
      <c r="F8" s="8">
        <f>IF(DAY(MaySun1)=1,MaySun1+25,MaySun1+32)</f>
        <v>45806</v>
      </c>
      <c r="G8" s="8">
        <f>IF(DAY(MaySun1)=1,MaySun1+26,MaySun1+33)</f>
        <v>45807</v>
      </c>
      <c r="H8" s="8">
        <f>IF(DAY(MaySun1)=1,MaySun1+27,MaySun1+34)</f>
        <v>45808</v>
      </c>
      <c r="I8" s="8">
        <f>IF(DAY(MaySun1)=1,MaySun1+28,MaySun1+35)</f>
        <v>45809</v>
      </c>
      <c r="J8" s="3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IF(DAY(MaySun1)=1,MaySun1+29,MaySun1+36)</f>
        <v>45810</v>
      </c>
      <c r="D9" s="8">
        <f>IF(DAY(MaySun1)=1,MaySun1+30,MaySun1+37)</f>
        <v>45811</v>
      </c>
      <c r="E9" s="8">
        <f>IF(DAY(MaySun1)=1,MaySun1+31,MaySun1+38)</f>
        <v>45812</v>
      </c>
      <c r="F9" s="8">
        <f>IF(DAY(MaySun1)=1,MaySun1+32,MaySun1+39)</f>
        <v>45813</v>
      </c>
      <c r="G9" s="8">
        <f>IF(DAY(MaySun1)=1,MaySun1+33,MaySun1+40)</f>
        <v>45814</v>
      </c>
      <c r="H9" s="8">
        <f>IF(DAY(MaySun1)=1,MaySun1+34,MaySun1+41)</f>
        <v>45815</v>
      </c>
      <c r="I9" s="8">
        <f>IF(DAY(MaySun1)=1,MaySun1+35,MaySun1+42)</f>
        <v>45816</v>
      </c>
      <c r="J9" s="3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23" priority="4" stopIfTrue="1">
      <formula>DAY(C4)&gt;8</formula>
    </cfRule>
  </conditionalFormatting>
  <conditionalFormatting sqref="C4:I9">
    <cfRule type="expression" dxfId="22" priority="5">
      <formula>VLOOKUP(DAY(C4),AssignmentDays,1,FALSE)=DAY(C4)</formula>
    </cfRule>
  </conditionalFormatting>
  <conditionalFormatting sqref="C8:I10">
    <cfRule type="expression" dxfId="21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70D50"/>
    <pageSetUpPr fitToPage="1"/>
  </sheetPr>
  <dimension ref="A1:R33"/>
  <sheetViews>
    <sheetView showGridLines="0" zoomScaleNormal="100" zoomScalePageLayoutView="84" workbookViewId="0">
      <selection activeCell="B14" sqref="B14:N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20</v>
      </c>
      <c r="C2" s="9"/>
      <c r="D2" s="9"/>
      <c r="E2" s="9"/>
      <c r="F2" s="9"/>
      <c r="G2" s="9"/>
      <c r="H2" s="9"/>
      <c r="I2" s="9"/>
      <c r="J2" s="10"/>
      <c r="O2" s="90" t="s">
        <v>1</v>
      </c>
      <c r="P2" s="91">
        <v>2013</v>
      </c>
      <c r="Q2" s="91"/>
      <c r="R2" s="2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O3" s="92"/>
      <c r="P3" s="93"/>
      <c r="Q3" s="93"/>
      <c r="R3" s="25"/>
    </row>
    <row r="4" spans="1:18" ht="18" customHeight="1" x14ac:dyDescent="0.25">
      <c r="A4" s="2"/>
      <c r="B4" s="76"/>
      <c r="C4" s="8">
        <f>IF(DAY(JunSun1)=1,JunSun1-6,JunSun1+1)</f>
        <v>45803</v>
      </c>
      <c r="D4" s="8">
        <f>IF(DAY(JunSun1)=1,JunSun1-5,JunSun1+2)</f>
        <v>45804</v>
      </c>
      <c r="E4" s="8">
        <f>IF(DAY(JunSun1)=1,JunSun1-4,JunSun1+3)</f>
        <v>45805</v>
      </c>
      <c r="F4" s="8">
        <f>IF(DAY(JunSun1)=1,JunSun1-3,JunSun1+4)</f>
        <v>45806</v>
      </c>
      <c r="G4" s="8">
        <f>IF(DAY(JunSun1)=1,JunSun1-2,JunSun1+5)</f>
        <v>45807</v>
      </c>
      <c r="H4" s="8">
        <f>IF(DAY(JunSun1)=1,JunSun1-1,JunSun1+6)</f>
        <v>45808</v>
      </c>
      <c r="I4" s="8">
        <f>IF(DAY(JunSun1)=1,JunSun1,JunSun1+7)</f>
        <v>45809</v>
      </c>
      <c r="J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IF(DAY(JunSun1)=1,JunSun1+1,JunSun1+8)</f>
        <v>45810</v>
      </c>
      <c r="D5" s="8">
        <f>IF(DAY(JunSun1)=1,JunSun1+2,JunSun1+9)</f>
        <v>45811</v>
      </c>
      <c r="E5" s="8">
        <f>IF(DAY(JunSun1)=1,JunSun1+3,JunSun1+10)</f>
        <v>45812</v>
      </c>
      <c r="F5" s="8">
        <f>IF(DAY(JunSun1)=1,JunSun1+4,JunSun1+11)</f>
        <v>45813</v>
      </c>
      <c r="G5" s="8">
        <f>IF(DAY(JunSun1)=1,JunSun1+5,JunSun1+12)</f>
        <v>45814</v>
      </c>
      <c r="H5" s="8">
        <f>IF(DAY(JunSun1)=1,JunSun1+6,JunSun1+13)</f>
        <v>45815</v>
      </c>
      <c r="I5" s="8">
        <f>IF(DAY(JunSun1)=1,JunSun1+7,JunSun1+14)</f>
        <v>45816</v>
      </c>
      <c r="J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IF(DAY(JunSun1)=1,JunSun1+8,JunSun1+15)</f>
        <v>45817</v>
      </c>
      <c r="D6" s="8">
        <f>IF(DAY(JunSun1)=1,JunSun1+9,JunSun1+16)</f>
        <v>45818</v>
      </c>
      <c r="E6" s="8">
        <f>IF(DAY(JunSun1)=1,JunSun1+10,JunSun1+17)</f>
        <v>45819</v>
      </c>
      <c r="F6" s="8">
        <f>IF(DAY(JunSun1)=1,JunSun1+11,JunSun1+18)</f>
        <v>45820</v>
      </c>
      <c r="G6" s="8">
        <f>IF(DAY(JunSun1)=1,JunSun1+12,JunSun1+19)</f>
        <v>45821</v>
      </c>
      <c r="H6" s="8">
        <f>IF(DAY(JunSun1)=1,JunSun1+13,JunSun1+20)</f>
        <v>45822</v>
      </c>
      <c r="I6" s="8">
        <f>IF(DAY(JunSun1)=1,JunSun1+14,JunSun1+21)</f>
        <v>45823</v>
      </c>
      <c r="J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IF(DAY(JunSun1)=1,JunSun1+15,JunSun1+22)</f>
        <v>45824</v>
      </c>
      <c r="D7" s="8">
        <f>IF(DAY(JunSun1)=1,JunSun1+16,JunSun1+23)</f>
        <v>45825</v>
      </c>
      <c r="E7" s="8">
        <f>IF(DAY(JunSun1)=1,JunSun1+17,JunSun1+24)</f>
        <v>45826</v>
      </c>
      <c r="F7" s="8">
        <f>IF(DAY(JunSun1)=1,JunSun1+18,JunSun1+25)</f>
        <v>45827</v>
      </c>
      <c r="G7" s="8">
        <f>IF(DAY(JunSun1)=1,JunSun1+19,JunSun1+26)</f>
        <v>45828</v>
      </c>
      <c r="H7" s="8">
        <f>IF(DAY(JunSun1)=1,JunSun1+20,JunSun1+27)</f>
        <v>45829</v>
      </c>
      <c r="I7" s="8">
        <f>IF(DAY(JunSun1)=1,JunSun1+21,JunSun1+28)</f>
        <v>45830</v>
      </c>
      <c r="J7" s="3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IF(DAY(JunSun1)=1,JunSun1+22,JunSun1+29)</f>
        <v>45831</v>
      </c>
      <c r="D8" s="8">
        <f>IF(DAY(JunSun1)=1,JunSun1+23,JunSun1+30)</f>
        <v>45832</v>
      </c>
      <c r="E8" s="8">
        <f>IF(DAY(JunSun1)=1,JunSun1+24,JunSun1+31)</f>
        <v>45833</v>
      </c>
      <c r="F8" s="8">
        <f>IF(DAY(JunSun1)=1,JunSun1+25,JunSun1+32)</f>
        <v>45834</v>
      </c>
      <c r="G8" s="8">
        <f>IF(DAY(JunSun1)=1,JunSun1+26,JunSun1+33)</f>
        <v>45835</v>
      </c>
      <c r="H8" s="8">
        <f>IF(DAY(JunSun1)=1,JunSun1+27,JunSun1+34)</f>
        <v>45836</v>
      </c>
      <c r="I8" s="8">
        <f>IF(DAY(JunSun1)=1,JunSun1+28,JunSun1+35)</f>
        <v>45837</v>
      </c>
      <c r="J8" s="3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IF(DAY(JunSun1)=1,JunSun1+29,JunSun1+36)</f>
        <v>45838</v>
      </c>
      <c r="D9" s="8">
        <f>IF(DAY(JunSun1)=1,JunSun1+30,JunSun1+37)</f>
        <v>45839</v>
      </c>
      <c r="E9" s="8">
        <f>IF(DAY(JunSun1)=1,JunSun1+31,JunSun1+38)</f>
        <v>45840</v>
      </c>
      <c r="F9" s="8">
        <f>IF(DAY(JunSun1)=1,JunSun1+32,JunSun1+39)</f>
        <v>45841</v>
      </c>
      <c r="G9" s="8">
        <f>IF(DAY(JunSun1)=1,JunSun1+33,JunSun1+40)</f>
        <v>45842</v>
      </c>
      <c r="H9" s="8">
        <f>IF(DAY(JunSun1)=1,JunSun1+34,JunSun1+41)</f>
        <v>45843</v>
      </c>
      <c r="I9" s="8">
        <f>IF(DAY(JunSun1)=1,JunSun1+35,JunSun1+42)</f>
        <v>45844</v>
      </c>
      <c r="J9" s="3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20" priority="4" stopIfTrue="1">
      <formula>DAY(C4)&gt;8</formula>
    </cfRule>
  </conditionalFormatting>
  <conditionalFormatting sqref="C4:I9">
    <cfRule type="expression" dxfId="19" priority="5">
      <formula>VLOOKUP(DAY(C4),AssignmentDays,1,FALSE)=DAY(C4)</formula>
    </cfRule>
  </conditionalFormatting>
  <conditionalFormatting sqref="C8:I10">
    <cfRule type="expression" dxfId="18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70D50"/>
    <pageSetUpPr fitToPage="1"/>
  </sheetPr>
  <dimension ref="A1:R33"/>
  <sheetViews>
    <sheetView showGridLines="0" zoomScaleNormal="100" zoomScalePageLayoutView="84" workbookViewId="0">
      <selection activeCell="B14" sqref="B14:N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21</v>
      </c>
      <c r="C2" s="9"/>
      <c r="D2" s="9"/>
      <c r="E2" s="9"/>
      <c r="F2" s="9"/>
      <c r="G2" s="9"/>
      <c r="H2" s="9"/>
      <c r="I2" s="9"/>
      <c r="J2" s="10"/>
      <c r="O2" s="90" t="s">
        <v>1</v>
      </c>
      <c r="P2" s="91">
        <v>2013</v>
      </c>
      <c r="Q2" s="91"/>
      <c r="R2" s="2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O3" s="92"/>
      <c r="P3" s="93"/>
      <c r="Q3" s="93"/>
      <c r="R3" s="25"/>
    </row>
    <row r="4" spans="1:18" ht="18" customHeight="1" x14ac:dyDescent="0.25">
      <c r="A4" s="2"/>
      <c r="B4" s="76"/>
      <c r="C4" s="8">
        <f>IF(DAY(JulSun1)=1,JulSun1-6,JulSun1+1)</f>
        <v>45838</v>
      </c>
      <c r="D4" s="8">
        <f>IF(DAY(JulSun1)=1,JulSun1-5,JulSun1+2)</f>
        <v>45839</v>
      </c>
      <c r="E4" s="8">
        <f>IF(DAY(JulSun1)=1,JulSun1-4,JulSun1+3)</f>
        <v>45840</v>
      </c>
      <c r="F4" s="8">
        <f>IF(DAY(JulSun1)=1,JulSun1-3,JulSun1+4)</f>
        <v>45841</v>
      </c>
      <c r="G4" s="8">
        <f>IF(DAY(JulSun1)=1,JulSun1-2,JulSun1+5)</f>
        <v>45842</v>
      </c>
      <c r="H4" s="8">
        <f>IF(DAY(JulSun1)=1,JulSun1-1,JulSun1+6)</f>
        <v>45843</v>
      </c>
      <c r="I4" s="8">
        <f>IF(DAY(JulSun1)=1,JulSun1,JulSun1+7)</f>
        <v>45844</v>
      </c>
      <c r="J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IF(DAY(JulSun1)=1,JulSun1+1,JulSun1+8)</f>
        <v>45845</v>
      </c>
      <c r="D5" s="8">
        <f>IF(DAY(JulSun1)=1,JulSun1+2,JulSun1+9)</f>
        <v>45846</v>
      </c>
      <c r="E5" s="8">
        <f>IF(DAY(JulSun1)=1,JulSun1+3,JulSun1+10)</f>
        <v>45847</v>
      </c>
      <c r="F5" s="8">
        <f>IF(DAY(JulSun1)=1,JulSun1+4,JulSun1+11)</f>
        <v>45848</v>
      </c>
      <c r="G5" s="8">
        <f>IF(DAY(JulSun1)=1,JulSun1+5,JulSun1+12)</f>
        <v>45849</v>
      </c>
      <c r="H5" s="8">
        <f>IF(DAY(JulSun1)=1,JulSun1+6,JulSun1+13)</f>
        <v>45850</v>
      </c>
      <c r="I5" s="8">
        <f>IF(DAY(JulSun1)=1,JulSun1+7,JulSun1+14)</f>
        <v>45851</v>
      </c>
      <c r="J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IF(DAY(JulSun1)=1,JulSun1+8,JulSun1+15)</f>
        <v>45852</v>
      </c>
      <c r="D6" s="8">
        <f>IF(DAY(JulSun1)=1,JulSun1+9,JulSun1+16)</f>
        <v>45853</v>
      </c>
      <c r="E6" s="8">
        <f>IF(DAY(JulSun1)=1,JulSun1+10,JulSun1+17)</f>
        <v>45854</v>
      </c>
      <c r="F6" s="8">
        <f>IF(DAY(JulSun1)=1,JulSun1+11,JulSun1+18)</f>
        <v>45855</v>
      </c>
      <c r="G6" s="8">
        <f>IF(DAY(JulSun1)=1,JulSun1+12,JulSun1+19)</f>
        <v>45856</v>
      </c>
      <c r="H6" s="8">
        <f>IF(DAY(JulSun1)=1,JulSun1+13,JulSun1+20)</f>
        <v>45857</v>
      </c>
      <c r="I6" s="8">
        <f>IF(DAY(JulSun1)=1,JulSun1+14,JulSun1+21)</f>
        <v>45858</v>
      </c>
      <c r="J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IF(DAY(JulSun1)=1,JulSun1+15,JulSun1+22)</f>
        <v>45859</v>
      </c>
      <c r="D7" s="8">
        <f>IF(DAY(JulSun1)=1,JulSun1+16,JulSun1+23)</f>
        <v>45860</v>
      </c>
      <c r="E7" s="8">
        <f>IF(DAY(JulSun1)=1,JulSun1+17,JulSun1+24)</f>
        <v>45861</v>
      </c>
      <c r="F7" s="8">
        <f>IF(DAY(JulSun1)=1,JulSun1+18,JulSun1+25)</f>
        <v>45862</v>
      </c>
      <c r="G7" s="8">
        <f>IF(DAY(JulSun1)=1,JulSun1+19,JulSun1+26)</f>
        <v>45863</v>
      </c>
      <c r="H7" s="8">
        <f>IF(DAY(JulSun1)=1,JulSun1+20,JulSun1+27)</f>
        <v>45864</v>
      </c>
      <c r="I7" s="8">
        <f>IF(DAY(JulSun1)=1,JulSun1+21,JulSun1+28)</f>
        <v>45865</v>
      </c>
      <c r="J7" s="3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IF(DAY(JulSun1)=1,JulSun1+22,JulSun1+29)</f>
        <v>45866</v>
      </c>
      <c r="D8" s="8">
        <f>IF(DAY(JulSun1)=1,JulSun1+23,JulSun1+30)</f>
        <v>45867</v>
      </c>
      <c r="E8" s="8">
        <f>IF(DAY(JulSun1)=1,JulSun1+24,JulSun1+31)</f>
        <v>45868</v>
      </c>
      <c r="F8" s="8">
        <f>IF(DAY(JulSun1)=1,JulSun1+25,JulSun1+32)</f>
        <v>45869</v>
      </c>
      <c r="G8" s="8">
        <f>IF(DAY(JulSun1)=1,JulSun1+26,JulSun1+33)</f>
        <v>45870</v>
      </c>
      <c r="H8" s="8">
        <f>IF(DAY(JulSun1)=1,JulSun1+27,JulSun1+34)</f>
        <v>45871</v>
      </c>
      <c r="I8" s="8">
        <f>IF(DAY(JulSun1)=1,JulSun1+28,JulSun1+35)</f>
        <v>45872</v>
      </c>
      <c r="J8" s="3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IF(DAY(JulSun1)=1,JulSun1+29,JulSun1+36)</f>
        <v>45873</v>
      </c>
      <c r="D9" s="8">
        <f>IF(DAY(JulSun1)=1,JulSun1+30,JulSun1+37)</f>
        <v>45874</v>
      </c>
      <c r="E9" s="8">
        <f>IF(DAY(JulSun1)=1,JulSun1+31,JulSun1+38)</f>
        <v>45875</v>
      </c>
      <c r="F9" s="8">
        <f>IF(DAY(JulSun1)=1,JulSun1+32,JulSun1+39)</f>
        <v>45876</v>
      </c>
      <c r="G9" s="8">
        <f>IF(DAY(JulSun1)=1,JulSun1+33,JulSun1+40)</f>
        <v>45877</v>
      </c>
      <c r="H9" s="8">
        <f>IF(DAY(JulSun1)=1,JulSun1+34,JulSun1+41)</f>
        <v>45878</v>
      </c>
      <c r="I9" s="8">
        <f>IF(DAY(JulSun1)=1,JulSun1+35,JulSun1+42)</f>
        <v>45879</v>
      </c>
      <c r="J9" s="3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17" priority="4" stopIfTrue="1">
      <formula>DAY(C4)&gt;8</formula>
    </cfRule>
  </conditionalFormatting>
  <conditionalFormatting sqref="C4:I9">
    <cfRule type="expression" dxfId="16" priority="5">
      <formula>VLOOKUP(DAY(C4),AssignmentDays,1,FALSE)=DAY(C4)</formula>
    </cfRule>
  </conditionalFormatting>
  <conditionalFormatting sqref="C8:I10">
    <cfRule type="expression" dxfId="15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70D50"/>
    <pageSetUpPr fitToPage="1"/>
  </sheetPr>
  <dimension ref="A1:R33"/>
  <sheetViews>
    <sheetView showGridLines="0" topLeftCell="A4" zoomScaleNormal="100" zoomScalePageLayoutView="84" workbookViewId="0">
      <selection activeCell="B14" sqref="B14:N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22</v>
      </c>
      <c r="C2" s="9"/>
      <c r="D2" s="9"/>
      <c r="E2" s="9"/>
      <c r="F2" s="9"/>
      <c r="G2" s="9"/>
      <c r="H2" s="9"/>
      <c r="I2" s="9"/>
      <c r="J2" s="10"/>
      <c r="O2" s="90" t="s">
        <v>1</v>
      </c>
      <c r="P2" s="91">
        <v>2013</v>
      </c>
      <c r="Q2" s="91"/>
      <c r="R2" s="2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O3" s="92"/>
      <c r="P3" s="93"/>
      <c r="Q3" s="93"/>
      <c r="R3" s="25"/>
    </row>
    <row r="4" spans="1:18" ht="18" customHeight="1" x14ac:dyDescent="0.25">
      <c r="A4" s="2"/>
      <c r="B4" s="76"/>
      <c r="C4" s="8">
        <f>IF(DAY(AugSun1)=1,AugSun1-6,AugSun1+1)</f>
        <v>45866</v>
      </c>
      <c r="D4" s="8">
        <f>IF(DAY(AugSun1)=1,AugSun1-5,AugSun1+2)</f>
        <v>45867</v>
      </c>
      <c r="E4" s="8">
        <f>IF(DAY(AugSun1)=1,AugSun1-4,AugSun1+3)</f>
        <v>45868</v>
      </c>
      <c r="F4" s="8">
        <f>IF(DAY(AugSun1)=1,AugSun1-3,AugSun1+4)</f>
        <v>45869</v>
      </c>
      <c r="G4" s="8">
        <f>IF(DAY(AugSun1)=1,AugSun1-2,AugSun1+5)</f>
        <v>45870</v>
      </c>
      <c r="H4" s="8">
        <f>IF(DAY(AugSun1)=1,AugSun1-1,AugSun1+6)</f>
        <v>45871</v>
      </c>
      <c r="I4" s="8">
        <f>IF(DAY(AugSun1)=1,AugSun1,AugSun1+7)</f>
        <v>45872</v>
      </c>
      <c r="J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IF(DAY(AugSun1)=1,AugSun1+1,AugSun1+8)</f>
        <v>45873</v>
      </c>
      <c r="D5" s="8">
        <f>IF(DAY(AugSun1)=1,AugSun1+2,AugSun1+9)</f>
        <v>45874</v>
      </c>
      <c r="E5" s="8">
        <f>IF(DAY(AugSun1)=1,AugSun1+3,AugSun1+10)</f>
        <v>45875</v>
      </c>
      <c r="F5" s="8">
        <f>IF(DAY(AugSun1)=1,AugSun1+4,AugSun1+11)</f>
        <v>45876</v>
      </c>
      <c r="G5" s="8">
        <f>IF(DAY(AugSun1)=1,AugSun1+5,AugSun1+12)</f>
        <v>45877</v>
      </c>
      <c r="H5" s="8">
        <f>IF(DAY(AugSun1)=1,AugSun1+6,AugSun1+13)</f>
        <v>45878</v>
      </c>
      <c r="I5" s="8">
        <f>IF(DAY(AugSun1)=1,AugSun1+7,AugSun1+14)</f>
        <v>45879</v>
      </c>
      <c r="J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IF(DAY(AugSun1)=1,AugSun1+8,AugSun1+15)</f>
        <v>45880</v>
      </c>
      <c r="D6" s="8">
        <f>IF(DAY(AugSun1)=1,AugSun1+9,AugSun1+16)</f>
        <v>45881</v>
      </c>
      <c r="E6" s="8">
        <f>IF(DAY(AugSun1)=1,AugSun1+10,AugSun1+17)</f>
        <v>45882</v>
      </c>
      <c r="F6" s="8">
        <f>IF(DAY(AugSun1)=1,AugSun1+11,AugSun1+18)</f>
        <v>45883</v>
      </c>
      <c r="G6" s="8">
        <f>IF(DAY(AugSun1)=1,AugSun1+12,AugSun1+19)</f>
        <v>45884</v>
      </c>
      <c r="H6" s="8">
        <f>IF(DAY(AugSun1)=1,AugSun1+13,AugSun1+20)</f>
        <v>45885</v>
      </c>
      <c r="I6" s="8">
        <f>IF(DAY(AugSun1)=1,AugSun1+14,AugSun1+21)</f>
        <v>45886</v>
      </c>
      <c r="J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IF(DAY(AugSun1)=1,AugSun1+15,AugSun1+22)</f>
        <v>45887</v>
      </c>
      <c r="D7" s="8">
        <f>IF(DAY(AugSun1)=1,AugSun1+16,AugSun1+23)</f>
        <v>45888</v>
      </c>
      <c r="E7" s="8">
        <f>IF(DAY(AugSun1)=1,AugSun1+17,AugSun1+24)</f>
        <v>45889</v>
      </c>
      <c r="F7" s="8">
        <f>IF(DAY(AugSun1)=1,AugSun1+18,AugSun1+25)</f>
        <v>45890</v>
      </c>
      <c r="G7" s="8">
        <f>IF(DAY(AugSun1)=1,AugSun1+19,AugSun1+26)</f>
        <v>45891</v>
      </c>
      <c r="H7" s="8">
        <f>IF(DAY(AugSun1)=1,AugSun1+20,AugSun1+27)</f>
        <v>45892</v>
      </c>
      <c r="I7" s="8">
        <f>IF(DAY(AugSun1)=1,AugSun1+21,AugSun1+28)</f>
        <v>45893</v>
      </c>
      <c r="J7" s="3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IF(DAY(AugSun1)=1,AugSun1+22,AugSun1+29)</f>
        <v>45894</v>
      </c>
      <c r="D8" s="8">
        <f>IF(DAY(AugSun1)=1,AugSun1+23,AugSun1+30)</f>
        <v>45895</v>
      </c>
      <c r="E8" s="8">
        <f>IF(DAY(AugSun1)=1,AugSun1+24,AugSun1+31)</f>
        <v>45896</v>
      </c>
      <c r="F8" s="8">
        <f>IF(DAY(AugSun1)=1,AugSun1+25,AugSun1+32)</f>
        <v>45897</v>
      </c>
      <c r="G8" s="8">
        <f>IF(DAY(AugSun1)=1,AugSun1+26,AugSun1+33)</f>
        <v>45898</v>
      </c>
      <c r="H8" s="8">
        <f>IF(DAY(AugSun1)=1,AugSun1+27,AugSun1+34)</f>
        <v>45899</v>
      </c>
      <c r="I8" s="8">
        <f>IF(DAY(AugSun1)=1,AugSun1+28,AugSun1+35)</f>
        <v>45900</v>
      </c>
      <c r="J8" s="3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IF(DAY(AugSun1)=1,AugSun1+29,AugSun1+36)</f>
        <v>45901</v>
      </c>
      <c r="D9" s="8">
        <f>IF(DAY(AugSun1)=1,AugSun1+30,AugSun1+37)</f>
        <v>45902</v>
      </c>
      <c r="E9" s="8">
        <f>IF(DAY(AugSun1)=1,AugSun1+31,AugSun1+38)</f>
        <v>45903</v>
      </c>
      <c r="F9" s="8">
        <f>IF(DAY(AugSun1)=1,AugSun1+32,AugSun1+39)</f>
        <v>45904</v>
      </c>
      <c r="G9" s="8">
        <f>IF(DAY(AugSun1)=1,AugSun1+33,AugSun1+40)</f>
        <v>45905</v>
      </c>
      <c r="H9" s="8">
        <f>IF(DAY(AugSun1)=1,AugSun1+34,AugSun1+41)</f>
        <v>45906</v>
      </c>
      <c r="I9" s="8">
        <f>IF(DAY(AugSun1)=1,AugSun1+35,AugSun1+42)</f>
        <v>45907</v>
      </c>
      <c r="J9" s="3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14" priority="4" stopIfTrue="1">
      <formula>DAY(C4)&gt;8</formula>
    </cfRule>
  </conditionalFormatting>
  <conditionalFormatting sqref="C4:I9">
    <cfRule type="expression" dxfId="13" priority="5">
      <formula>VLOOKUP(DAY(C4),AssignmentDays,1,FALSE)=DAY(C4)</formula>
    </cfRule>
  </conditionalFormatting>
  <conditionalFormatting sqref="C8:I10">
    <cfRule type="expression" dxfId="12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70D50"/>
    <pageSetUpPr fitToPage="1"/>
  </sheetPr>
  <dimension ref="A1:R33"/>
  <sheetViews>
    <sheetView showGridLines="0" zoomScaleNormal="100" zoomScalePageLayoutView="84" workbookViewId="0">
      <selection activeCell="B14" sqref="B14:N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4" width="6.6640625" customWidth="1"/>
    <col min="15" max="15" width="7.33203125" customWidth="1"/>
    <col min="16" max="16" width="3.88671875" customWidth="1"/>
    <col min="17" max="17" width="51.44140625" customWidth="1"/>
    <col min="18" max="18" width="10.6640625" customWidth="1"/>
    <col min="19" max="19" width="2.33203125" customWidth="1"/>
    <col min="20" max="26" width="8.88671875" customWidth="1"/>
  </cols>
  <sheetData>
    <row r="1" spans="1:18" ht="11.25" customHeight="1" x14ac:dyDescent="0.25"/>
    <row r="2" spans="1:18" ht="18" customHeight="1" x14ac:dyDescent="0.25">
      <c r="A2" s="2"/>
      <c r="B2" s="75" t="s">
        <v>23</v>
      </c>
      <c r="C2" s="9"/>
      <c r="D2" s="9"/>
      <c r="E2" s="9"/>
      <c r="F2" s="9"/>
      <c r="G2" s="9"/>
      <c r="H2" s="9"/>
      <c r="I2" s="9"/>
      <c r="J2" s="10"/>
      <c r="O2" s="90" t="s">
        <v>1</v>
      </c>
      <c r="P2" s="91">
        <v>2013</v>
      </c>
      <c r="Q2" s="91"/>
      <c r="R2" s="23"/>
    </row>
    <row r="3" spans="1:18" ht="21" customHeight="1" x14ac:dyDescent="0.25">
      <c r="A3" s="2"/>
      <c r="B3" s="7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O3" s="92"/>
      <c r="P3" s="93"/>
      <c r="Q3" s="93"/>
      <c r="R3" s="25"/>
    </row>
    <row r="4" spans="1:18" ht="18" customHeight="1" x14ac:dyDescent="0.25">
      <c r="A4" s="2"/>
      <c r="B4" s="76"/>
      <c r="C4" s="8">
        <f>IF(DAY(SepSun1)=1,SepSun1-6,SepSun1+1)</f>
        <v>45901</v>
      </c>
      <c r="D4" s="8">
        <f>IF(DAY(SepSun1)=1,SepSun1-5,SepSun1+2)</f>
        <v>45902</v>
      </c>
      <c r="E4" s="8">
        <f>IF(DAY(SepSun1)=1,SepSun1-4,SepSun1+3)</f>
        <v>45903</v>
      </c>
      <c r="F4" s="8">
        <f>IF(DAY(SepSun1)=1,SepSun1-3,SepSun1+4)</f>
        <v>45904</v>
      </c>
      <c r="G4" s="8">
        <f>IF(DAY(SepSun1)=1,SepSun1-2,SepSun1+5)</f>
        <v>45905</v>
      </c>
      <c r="H4" s="8">
        <f>IF(DAY(SepSun1)=1,SepSun1-1,SepSun1+6)</f>
        <v>45906</v>
      </c>
      <c r="I4" s="8">
        <f>IF(DAY(SepSun1)=1,SepSun1,SepSun1+7)</f>
        <v>45907</v>
      </c>
      <c r="J4" s="3"/>
      <c r="O4" s="85" t="s">
        <v>7</v>
      </c>
      <c r="P4" s="34"/>
      <c r="Q4" s="94"/>
      <c r="R4" s="95"/>
    </row>
    <row r="5" spans="1:18" ht="18" customHeight="1" x14ac:dyDescent="0.25">
      <c r="A5" s="2"/>
      <c r="B5" s="76"/>
      <c r="C5" s="8">
        <f>IF(DAY(SepSun1)=1,SepSun1+1,SepSun1+8)</f>
        <v>45908</v>
      </c>
      <c r="D5" s="8">
        <f>IF(DAY(SepSun1)=1,SepSun1+2,SepSun1+9)</f>
        <v>45909</v>
      </c>
      <c r="E5" s="8">
        <f>IF(DAY(SepSun1)=1,SepSun1+3,SepSun1+10)</f>
        <v>45910</v>
      </c>
      <c r="F5" s="8">
        <f>IF(DAY(SepSun1)=1,SepSun1+4,SepSun1+11)</f>
        <v>45911</v>
      </c>
      <c r="G5" s="8">
        <f>IF(DAY(SepSun1)=1,SepSun1+5,SepSun1+12)</f>
        <v>45912</v>
      </c>
      <c r="H5" s="8">
        <f>IF(DAY(SepSun1)=1,SepSun1+6,SepSun1+13)</f>
        <v>45913</v>
      </c>
      <c r="I5" s="8">
        <f>IF(DAY(SepSun1)=1,SepSun1+7,SepSun1+14)</f>
        <v>45914</v>
      </c>
      <c r="J5" s="3"/>
      <c r="O5" s="84"/>
      <c r="P5" s="18"/>
      <c r="Q5" s="71"/>
      <c r="R5" s="72"/>
    </row>
    <row r="6" spans="1:18" ht="18" customHeight="1" x14ac:dyDescent="0.25">
      <c r="A6" s="2"/>
      <c r="B6" s="76"/>
      <c r="C6" s="8">
        <f>IF(DAY(SepSun1)=1,SepSun1+8,SepSun1+15)</f>
        <v>45915</v>
      </c>
      <c r="D6" s="8">
        <f>IF(DAY(SepSun1)=1,SepSun1+9,SepSun1+16)</f>
        <v>45916</v>
      </c>
      <c r="E6" s="8">
        <f>IF(DAY(SepSun1)=1,SepSun1+10,SepSun1+17)</f>
        <v>45917</v>
      </c>
      <c r="F6" s="8">
        <f>IF(DAY(SepSun1)=1,SepSun1+11,SepSun1+18)</f>
        <v>45918</v>
      </c>
      <c r="G6" s="8">
        <f>IF(DAY(SepSun1)=1,SepSun1+12,SepSun1+19)</f>
        <v>45919</v>
      </c>
      <c r="H6" s="8">
        <f>IF(DAY(SepSun1)=1,SepSun1+13,SepSun1+20)</f>
        <v>45920</v>
      </c>
      <c r="I6" s="8">
        <f>IF(DAY(SepSun1)=1,SepSun1+14,SepSun1+21)</f>
        <v>45921</v>
      </c>
      <c r="J6" s="3"/>
      <c r="O6" s="84"/>
      <c r="P6" s="19"/>
      <c r="Q6" s="96"/>
      <c r="R6" s="97"/>
    </row>
    <row r="7" spans="1:18" ht="18" customHeight="1" x14ac:dyDescent="0.25">
      <c r="A7" s="2"/>
      <c r="B7" s="76"/>
      <c r="C7" s="8">
        <f>IF(DAY(SepSun1)=1,SepSun1+15,SepSun1+22)</f>
        <v>45922</v>
      </c>
      <c r="D7" s="8">
        <f>IF(DAY(SepSun1)=1,SepSun1+16,SepSun1+23)</f>
        <v>45923</v>
      </c>
      <c r="E7" s="8">
        <f>IF(DAY(SepSun1)=1,SepSun1+17,SepSun1+24)</f>
        <v>45924</v>
      </c>
      <c r="F7" s="8">
        <f>IF(DAY(SepSun1)=1,SepSun1+18,SepSun1+25)</f>
        <v>45925</v>
      </c>
      <c r="G7" s="8">
        <f>IF(DAY(SepSun1)=1,SepSun1+19,SepSun1+26)</f>
        <v>45926</v>
      </c>
      <c r="H7" s="8">
        <f>IF(DAY(SepSun1)=1,SepSun1+20,SepSun1+27)</f>
        <v>45927</v>
      </c>
      <c r="I7" s="8">
        <f>IF(DAY(SepSun1)=1,SepSun1+21,SepSun1+28)</f>
        <v>45928</v>
      </c>
      <c r="J7" s="3"/>
      <c r="O7" s="102" t="s">
        <v>8</v>
      </c>
      <c r="P7" s="17"/>
      <c r="Q7" s="69"/>
      <c r="R7" s="70"/>
    </row>
    <row r="8" spans="1:18" ht="18.75" customHeight="1" x14ac:dyDescent="0.25">
      <c r="A8" s="2"/>
      <c r="B8" s="76"/>
      <c r="C8" s="8">
        <f>IF(DAY(SepSun1)=1,SepSun1+22,SepSun1+29)</f>
        <v>45929</v>
      </c>
      <c r="D8" s="8">
        <f>IF(DAY(SepSun1)=1,SepSun1+23,SepSun1+30)</f>
        <v>45930</v>
      </c>
      <c r="E8" s="8">
        <f>IF(DAY(SepSun1)=1,SepSun1+24,SepSun1+31)</f>
        <v>45931</v>
      </c>
      <c r="F8" s="8">
        <f>IF(DAY(SepSun1)=1,SepSun1+25,SepSun1+32)</f>
        <v>45932</v>
      </c>
      <c r="G8" s="8">
        <f>IF(DAY(SepSun1)=1,SepSun1+26,SepSun1+33)</f>
        <v>45933</v>
      </c>
      <c r="H8" s="8">
        <f>IF(DAY(SepSun1)=1,SepSun1+27,SepSun1+34)</f>
        <v>45934</v>
      </c>
      <c r="I8" s="8">
        <f>IF(DAY(SepSun1)=1,SepSun1+28,SepSun1+35)</f>
        <v>45935</v>
      </c>
      <c r="J8" s="3"/>
      <c r="O8" s="103"/>
      <c r="P8" s="18"/>
      <c r="Q8" s="71"/>
      <c r="R8" s="72"/>
    </row>
    <row r="9" spans="1:18" ht="18" customHeight="1" x14ac:dyDescent="0.25">
      <c r="A9" s="2"/>
      <c r="B9" s="76"/>
      <c r="C9" s="8">
        <f>IF(DAY(SepSun1)=1,SepSun1+29,SepSun1+36)</f>
        <v>45936</v>
      </c>
      <c r="D9" s="8">
        <f>IF(DAY(SepSun1)=1,SepSun1+30,SepSun1+37)</f>
        <v>45937</v>
      </c>
      <c r="E9" s="8">
        <f>IF(DAY(SepSun1)=1,SepSun1+31,SepSun1+38)</f>
        <v>45938</v>
      </c>
      <c r="F9" s="8">
        <f>IF(DAY(SepSun1)=1,SepSun1+32,SepSun1+39)</f>
        <v>45939</v>
      </c>
      <c r="G9" s="8">
        <f>IF(DAY(SepSun1)=1,SepSun1+33,SepSun1+40)</f>
        <v>45940</v>
      </c>
      <c r="H9" s="8">
        <f>IF(DAY(SepSun1)=1,SepSun1+34,SepSun1+41)</f>
        <v>45941</v>
      </c>
      <c r="I9" s="8">
        <f>IF(DAY(SepSun1)=1,SepSun1+35,SepSun1+42)</f>
        <v>45942</v>
      </c>
      <c r="J9" s="3"/>
      <c r="O9" s="104"/>
      <c r="P9" s="19"/>
      <c r="Q9" s="96"/>
      <c r="R9" s="97"/>
    </row>
    <row r="10" spans="1:18" ht="18" customHeight="1" x14ac:dyDescent="0.25">
      <c r="A10" s="2"/>
      <c r="B10" s="77"/>
      <c r="C10" s="11"/>
      <c r="D10" s="11"/>
      <c r="E10" s="11"/>
      <c r="F10" s="11"/>
      <c r="G10" s="11"/>
      <c r="H10" s="11"/>
      <c r="I10" s="11"/>
      <c r="J10" s="12"/>
      <c r="O10" s="83" t="s">
        <v>9</v>
      </c>
      <c r="P10" s="17"/>
      <c r="Q10" s="98"/>
      <c r="R10" s="99"/>
    </row>
    <row r="11" spans="1:18" ht="18" customHeight="1" x14ac:dyDescent="0.25">
      <c r="A11" s="2"/>
      <c r="B11" s="78" t="s">
        <v>10</v>
      </c>
      <c r="C11" s="79"/>
      <c r="D11" s="79"/>
      <c r="E11" s="79"/>
      <c r="F11" s="79"/>
      <c r="G11" s="79"/>
      <c r="H11" s="79"/>
      <c r="I11" s="79"/>
      <c r="J11" s="80"/>
      <c r="K11" s="16"/>
      <c r="L11" s="16"/>
      <c r="M11" s="16"/>
      <c r="N11" s="16"/>
      <c r="O11" s="84"/>
      <c r="P11" s="18"/>
      <c r="Q11" s="71"/>
      <c r="R11" s="72"/>
    </row>
    <row r="12" spans="1:18" ht="18" customHeight="1" x14ac:dyDescent="0.25">
      <c r="A12" s="2"/>
      <c r="B12" s="78"/>
      <c r="C12" s="79"/>
      <c r="D12" s="79"/>
      <c r="E12" s="79"/>
      <c r="F12" s="79"/>
      <c r="G12" s="79"/>
      <c r="H12" s="79"/>
      <c r="I12" s="79"/>
      <c r="J12" s="80"/>
      <c r="K12" s="16"/>
      <c r="L12" s="16"/>
      <c r="M12" s="16"/>
      <c r="N12" s="16"/>
      <c r="O12" s="84"/>
      <c r="P12" s="19"/>
      <c r="Q12" s="96"/>
      <c r="R12" s="97"/>
    </row>
    <row r="13" spans="1:18" ht="18" customHeight="1" x14ac:dyDescent="0.25">
      <c r="B13" s="15" t="s">
        <v>7</v>
      </c>
      <c r="C13" s="87" t="s">
        <v>8</v>
      </c>
      <c r="D13" s="88"/>
      <c r="E13" s="87" t="s">
        <v>9</v>
      </c>
      <c r="F13" s="88"/>
      <c r="G13" s="87" t="s">
        <v>11</v>
      </c>
      <c r="H13" s="88"/>
      <c r="I13" s="87" t="s">
        <v>12</v>
      </c>
      <c r="J13" s="88"/>
      <c r="K13" s="87" t="s">
        <v>13</v>
      </c>
      <c r="L13" s="106"/>
      <c r="M13" s="87" t="s">
        <v>14</v>
      </c>
      <c r="N13" s="106"/>
      <c r="O13" s="83" t="s">
        <v>11</v>
      </c>
      <c r="P13" s="17"/>
      <c r="Q13" s="69"/>
      <c r="R13" s="70"/>
    </row>
    <row r="14" spans="1:18" ht="18" customHeight="1" x14ac:dyDescent="0.25">
      <c r="B14" s="6"/>
      <c r="C14" s="47"/>
      <c r="D14" s="53"/>
      <c r="E14" s="47"/>
      <c r="F14" s="53"/>
      <c r="G14" s="47"/>
      <c r="H14" s="53"/>
      <c r="I14" s="47"/>
      <c r="J14" s="53"/>
      <c r="K14" s="30"/>
      <c r="L14" s="30"/>
      <c r="M14" s="47"/>
      <c r="N14" s="48"/>
      <c r="O14" s="84"/>
      <c r="P14" s="18"/>
      <c r="Q14" s="71"/>
      <c r="R14" s="72"/>
    </row>
    <row r="15" spans="1:18" ht="18" customHeight="1" x14ac:dyDescent="0.25">
      <c r="B15" s="4"/>
      <c r="C15" s="49"/>
      <c r="D15" s="50"/>
      <c r="E15" s="49"/>
      <c r="F15" s="50"/>
      <c r="G15" s="49"/>
      <c r="H15" s="50"/>
      <c r="I15" s="49"/>
      <c r="J15" s="50"/>
      <c r="K15" s="31"/>
      <c r="L15" s="31"/>
      <c r="M15" s="51"/>
      <c r="N15" s="52"/>
      <c r="O15" s="84"/>
      <c r="P15" s="20"/>
      <c r="Q15" s="96"/>
      <c r="R15" s="97"/>
    </row>
    <row r="16" spans="1:18" ht="18" customHeight="1" x14ac:dyDescent="0.25">
      <c r="B16" s="6"/>
      <c r="C16" s="47"/>
      <c r="D16" s="53"/>
      <c r="E16" s="47"/>
      <c r="F16" s="53"/>
      <c r="G16" s="47"/>
      <c r="H16" s="53"/>
      <c r="I16" s="47"/>
      <c r="J16" s="53"/>
      <c r="K16" s="30"/>
      <c r="L16" s="30"/>
      <c r="M16" s="54"/>
      <c r="N16" s="55"/>
      <c r="O16" s="85" t="s">
        <v>12</v>
      </c>
      <c r="P16" s="17"/>
      <c r="Q16" s="98"/>
      <c r="R16" s="99"/>
    </row>
    <row r="17" spans="2:18" ht="18" customHeight="1" x14ac:dyDescent="0.25">
      <c r="B17" s="4"/>
      <c r="C17" s="49"/>
      <c r="D17" s="50"/>
      <c r="E17" s="49"/>
      <c r="F17" s="50"/>
      <c r="G17" s="49"/>
      <c r="H17" s="50"/>
      <c r="I17" s="49"/>
      <c r="J17" s="50"/>
      <c r="K17" s="31"/>
      <c r="L17" s="31"/>
      <c r="M17" s="51"/>
      <c r="N17" s="52"/>
      <c r="O17" s="84"/>
      <c r="P17" s="18"/>
      <c r="Q17" s="71"/>
      <c r="R17" s="72"/>
    </row>
    <row r="18" spans="2:18" ht="18" customHeight="1" x14ac:dyDescent="0.25">
      <c r="B18" s="7"/>
      <c r="C18" s="60"/>
      <c r="D18" s="89"/>
      <c r="E18" s="60"/>
      <c r="F18" s="89"/>
      <c r="G18" s="60"/>
      <c r="H18" s="89"/>
      <c r="I18" s="60"/>
      <c r="J18" s="89"/>
      <c r="K18" s="32"/>
      <c r="L18" s="32"/>
      <c r="M18" s="60"/>
      <c r="N18" s="61"/>
      <c r="O18" s="105"/>
      <c r="P18" s="19"/>
      <c r="Q18" s="96"/>
      <c r="R18" s="97"/>
    </row>
    <row r="19" spans="2:18" ht="18" customHeight="1" x14ac:dyDescent="0.25">
      <c r="B19" s="4"/>
      <c r="C19" s="49"/>
      <c r="D19" s="50"/>
      <c r="E19" s="49"/>
      <c r="F19" s="50"/>
      <c r="G19" s="49"/>
      <c r="H19" s="50"/>
      <c r="I19" s="49"/>
      <c r="J19" s="50"/>
      <c r="K19" s="31"/>
      <c r="L19" s="31"/>
      <c r="M19" s="51"/>
      <c r="N19" s="52"/>
      <c r="O19" s="83" t="s">
        <v>13</v>
      </c>
      <c r="P19" s="42"/>
      <c r="Q19" s="98"/>
      <c r="R19" s="99"/>
    </row>
    <row r="20" spans="2:18" ht="18" customHeight="1" x14ac:dyDescent="0.25">
      <c r="B20" s="6"/>
      <c r="C20" s="47"/>
      <c r="D20" s="53"/>
      <c r="E20" s="47"/>
      <c r="F20" s="53"/>
      <c r="G20" s="47"/>
      <c r="H20" s="53"/>
      <c r="I20" s="47"/>
      <c r="J20" s="53"/>
      <c r="K20" s="30"/>
      <c r="L20" s="30"/>
      <c r="M20" s="47"/>
      <c r="N20" s="48"/>
      <c r="O20" s="84"/>
      <c r="P20" s="18"/>
      <c r="Q20" s="71"/>
      <c r="R20" s="72"/>
    </row>
    <row r="21" spans="2:18" ht="18" customHeight="1" x14ac:dyDescent="0.25">
      <c r="B21" s="4"/>
      <c r="C21" s="49"/>
      <c r="D21" s="50"/>
      <c r="E21" s="49"/>
      <c r="F21" s="50"/>
      <c r="G21" s="49"/>
      <c r="H21" s="50"/>
      <c r="I21" s="49"/>
      <c r="J21" s="50"/>
      <c r="K21" s="31"/>
      <c r="L21" s="31"/>
      <c r="M21" s="62"/>
      <c r="N21" s="63"/>
      <c r="O21" s="84"/>
      <c r="P21" s="18"/>
      <c r="Q21" s="71"/>
      <c r="R21" s="72"/>
    </row>
    <row r="22" spans="2:18" ht="18" customHeight="1" x14ac:dyDescent="0.25">
      <c r="B22" s="6"/>
      <c r="C22" s="47"/>
      <c r="D22" s="53"/>
      <c r="E22" s="47"/>
      <c r="F22" s="53"/>
      <c r="G22" s="47"/>
      <c r="H22" s="53"/>
      <c r="I22" s="47"/>
      <c r="J22" s="53"/>
      <c r="K22" s="30"/>
      <c r="L22" s="30"/>
      <c r="M22" s="47"/>
      <c r="N22" s="48"/>
      <c r="O22" s="44"/>
      <c r="P22" s="43"/>
      <c r="Q22" s="73"/>
      <c r="R22" s="74"/>
    </row>
    <row r="23" spans="2:18" ht="18" customHeight="1" x14ac:dyDescent="0.25">
      <c r="B23" s="4"/>
      <c r="C23" s="49"/>
      <c r="D23" s="50"/>
      <c r="E23" s="49"/>
      <c r="F23" s="50"/>
      <c r="G23" s="49"/>
      <c r="H23" s="50"/>
      <c r="I23" s="49"/>
      <c r="J23" s="50"/>
      <c r="K23" s="31"/>
      <c r="L23" s="31"/>
      <c r="M23" s="51"/>
      <c r="N23" s="52"/>
      <c r="O23" s="84" t="s">
        <v>14</v>
      </c>
      <c r="P23" s="17"/>
      <c r="Q23" s="69"/>
      <c r="R23" s="70"/>
    </row>
    <row r="24" spans="2:18" ht="18" customHeight="1" x14ac:dyDescent="0.25">
      <c r="B24" s="6"/>
      <c r="C24" s="47"/>
      <c r="D24" s="53"/>
      <c r="E24" s="47"/>
      <c r="F24" s="53"/>
      <c r="G24" s="47"/>
      <c r="H24" s="53"/>
      <c r="I24" s="47"/>
      <c r="J24" s="53"/>
      <c r="K24" s="30"/>
      <c r="L24" s="30"/>
      <c r="M24" s="47"/>
      <c r="N24" s="48"/>
      <c r="O24" s="84"/>
      <c r="P24" s="18"/>
      <c r="Q24" s="71"/>
      <c r="R24" s="72"/>
    </row>
    <row r="25" spans="2:18" ht="18" customHeight="1" x14ac:dyDescent="0.25">
      <c r="B25" s="4"/>
      <c r="C25" s="49"/>
      <c r="D25" s="50"/>
      <c r="E25" s="49"/>
      <c r="F25" s="50"/>
      <c r="G25" s="49"/>
      <c r="H25" s="50"/>
      <c r="I25" s="49"/>
      <c r="J25" s="50"/>
      <c r="K25" s="31"/>
      <c r="L25" s="31"/>
      <c r="M25" s="51"/>
      <c r="N25" s="52"/>
      <c r="O25" s="84"/>
      <c r="P25" s="18"/>
      <c r="Q25" s="71"/>
      <c r="R25" s="72"/>
    </row>
    <row r="26" spans="2:18" ht="18" customHeight="1" x14ac:dyDescent="0.25">
      <c r="B26" s="6"/>
      <c r="C26" s="47"/>
      <c r="D26" s="53"/>
      <c r="E26" s="47"/>
      <c r="F26" s="53"/>
      <c r="G26" s="47"/>
      <c r="H26" s="53"/>
      <c r="I26" s="47"/>
      <c r="J26" s="53"/>
      <c r="K26" s="30"/>
      <c r="L26" s="30"/>
      <c r="M26" s="47"/>
      <c r="N26" s="48"/>
      <c r="O26" s="86"/>
      <c r="P26" s="36"/>
      <c r="Q26" s="67"/>
      <c r="R26" s="68"/>
    </row>
    <row r="27" spans="2:18" ht="18" customHeight="1" x14ac:dyDescent="0.25">
      <c r="B27" s="4"/>
      <c r="C27" s="49"/>
      <c r="D27" s="50"/>
      <c r="E27" s="49"/>
      <c r="F27" s="50"/>
      <c r="G27" s="49"/>
      <c r="H27" s="50"/>
      <c r="I27" s="49"/>
      <c r="J27" s="50"/>
      <c r="K27" s="31"/>
      <c r="L27" s="31"/>
      <c r="M27" s="51"/>
      <c r="N27" s="52"/>
      <c r="O27" s="85" t="s">
        <v>15</v>
      </c>
      <c r="P27" s="17"/>
      <c r="Q27" s="69"/>
      <c r="R27" s="70"/>
    </row>
    <row r="28" spans="2:18" ht="18" customHeight="1" x14ac:dyDescent="0.25">
      <c r="B28" s="6"/>
      <c r="C28" s="47"/>
      <c r="D28" s="53"/>
      <c r="E28" s="47"/>
      <c r="F28" s="53"/>
      <c r="G28" s="47"/>
      <c r="H28" s="53"/>
      <c r="I28" s="47"/>
      <c r="J28" s="53"/>
      <c r="K28" s="30"/>
      <c r="L28" s="30"/>
      <c r="M28" s="47"/>
      <c r="N28" s="48"/>
      <c r="O28" s="84"/>
      <c r="P28" s="17"/>
      <c r="Q28" s="69"/>
      <c r="R28" s="70"/>
    </row>
    <row r="29" spans="2:18" ht="18" customHeight="1" x14ac:dyDescent="0.25">
      <c r="B29" s="4"/>
      <c r="C29" s="49"/>
      <c r="D29" s="50"/>
      <c r="E29" s="49"/>
      <c r="F29" s="50"/>
      <c r="G29" s="49"/>
      <c r="H29" s="50"/>
      <c r="I29" s="49"/>
      <c r="J29" s="50"/>
      <c r="K29" s="31"/>
      <c r="L29" s="31"/>
      <c r="M29" s="49"/>
      <c r="N29" s="64"/>
      <c r="O29" s="84"/>
      <c r="P29" s="18"/>
      <c r="Q29" s="71"/>
      <c r="R29" s="72"/>
    </row>
    <row r="30" spans="2:18" ht="18" customHeight="1" x14ac:dyDescent="0.25">
      <c r="B30" s="6"/>
      <c r="C30" s="47"/>
      <c r="D30" s="53"/>
      <c r="E30" s="47"/>
      <c r="F30" s="53"/>
      <c r="G30" s="47"/>
      <c r="H30" s="53"/>
      <c r="I30" s="47"/>
      <c r="J30" s="53"/>
      <c r="K30" s="30"/>
      <c r="L30" s="30"/>
      <c r="M30" s="81"/>
      <c r="N30" s="82"/>
      <c r="O30" s="84"/>
      <c r="P30" s="18"/>
      <c r="Q30" s="71"/>
      <c r="R30" s="72"/>
    </row>
    <row r="31" spans="2:18" ht="18" customHeight="1" x14ac:dyDescent="0.25">
      <c r="B31" s="4"/>
      <c r="C31" s="49"/>
      <c r="D31" s="50"/>
      <c r="E31" s="49"/>
      <c r="F31" s="50"/>
      <c r="G31" s="49"/>
      <c r="H31" s="50"/>
      <c r="I31" s="49"/>
      <c r="J31" s="50"/>
      <c r="K31" s="31"/>
      <c r="L31" s="31"/>
      <c r="M31" s="49"/>
      <c r="N31" s="64"/>
      <c r="O31" s="84"/>
      <c r="P31" s="18"/>
      <c r="Q31" s="71"/>
      <c r="R31" s="72"/>
    </row>
    <row r="32" spans="2:18" ht="18" customHeight="1" x14ac:dyDescent="0.25">
      <c r="B32" s="6"/>
      <c r="C32" s="47"/>
      <c r="D32" s="53"/>
      <c r="E32" s="47"/>
      <c r="F32" s="53"/>
      <c r="G32" s="47"/>
      <c r="H32" s="53"/>
      <c r="I32" s="47"/>
      <c r="J32" s="53"/>
      <c r="K32" s="30"/>
      <c r="L32" s="30"/>
      <c r="M32" s="54"/>
      <c r="N32" s="55"/>
      <c r="O32" s="84"/>
      <c r="P32" s="18"/>
      <c r="Q32" s="71"/>
      <c r="R32" s="72"/>
    </row>
    <row r="33" spans="2:18" ht="18" customHeight="1" x14ac:dyDescent="0.25">
      <c r="B33" s="5"/>
      <c r="C33" s="56"/>
      <c r="D33" s="57"/>
      <c r="E33" s="56"/>
      <c r="F33" s="57"/>
      <c r="G33" s="56"/>
      <c r="H33" s="57"/>
      <c r="I33" s="56"/>
      <c r="J33" s="57"/>
      <c r="K33" s="33"/>
      <c r="L33" s="33"/>
      <c r="M33" s="58"/>
      <c r="N33" s="59"/>
      <c r="O33" s="35"/>
      <c r="P33" s="28"/>
      <c r="Q33" s="65"/>
      <c r="R33" s="66"/>
    </row>
  </sheetData>
  <mergeCells count="147">
    <mergeCell ref="Q10:R10"/>
    <mergeCell ref="B11:J12"/>
    <mergeCell ref="Q11:R11"/>
    <mergeCell ref="Q12:R12"/>
    <mergeCell ref="C13:D13"/>
    <mergeCell ref="E13:F13"/>
    <mergeCell ref="G13:H13"/>
    <mergeCell ref="I13:J13"/>
    <mergeCell ref="Q13:R13"/>
    <mergeCell ref="B2:B10"/>
    <mergeCell ref="O2:Q3"/>
    <mergeCell ref="O4:O6"/>
    <mergeCell ref="Q4:R4"/>
    <mergeCell ref="Q5:R5"/>
    <mergeCell ref="Q6:R6"/>
    <mergeCell ref="Q7:R7"/>
    <mergeCell ref="Q8:R8"/>
    <mergeCell ref="Q9:R9"/>
    <mergeCell ref="O10:O12"/>
    <mergeCell ref="K13:L13"/>
    <mergeCell ref="M13:N13"/>
    <mergeCell ref="O7:O9"/>
    <mergeCell ref="C14:D14"/>
    <mergeCell ref="E14:F14"/>
    <mergeCell ref="G14:H14"/>
    <mergeCell ref="I14:J14"/>
    <mergeCell ref="Q14:R14"/>
    <mergeCell ref="C15:D15"/>
    <mergeCell ref="E15:F15"/>
    <mergeCell ref="G15:H15"/>
    <mergeCell ref="I15:J15"/>
    <mergeCell ref="Q15:R15"/>
    <mergeCell ref="M14:N14"/>
    <mergeCell ref="M15:N15"/>
    <mergeCell ref="O13:O15"/>
    <mergeCell ref="Q17:R17"/>
    <mergeCell ref="C18:D18"/>
    <mergeCell ref="E18:F18"/>
    <mergeCell ref="G18:H18"/>
    <mergeCell ref="I18:J18"/>
    <mergeCell ref="Q18:R18"/>
    <mergeCell ref="C16:D16"/>
    <mergeCell ref="E16:F16"/>
    <mergeCell ref="G16:H16"/>
    <mergeCell ref="I16:J16"/>
    <mergeCell ref="O16:O18"/>
    <mergeCell ref="Q16:R16"/>
    <mergeCell ref="C17:D17"/>
    <mergeCell ref="E17:F17"/>
    <mergeCell ref="G17:H17"/>
    <mergeCell ref="I17:J17"/>
    <mergeCell ref="M16:N16"/>
    <mergeCell ref="M17:N17"/>
    <mergeCell ref="M18:N18"/>
    <mergeCell ref="C19:D19"/>
    <mergeCell ref="E19:F19"/>
    <mergeCell ref="G19:H19"/>
    <mergeCell ref="I19:J19"/>
    <mergeCell ref="Q19:R19"/>
    <mergeCell ref="C20:D20"/>
    <mergeCell ref="E20:F20"/>
    <mergeCell ref="G20:H20"/>
    <mergeCell ref="I20:J20"/>
    <mergeCell ref="Q20:R20"/>
    <mergeCell ref="M19:N19"/>
    <mergeCell ref="M20:N20"/>
    <mergeCell ref="O19:O21"/>
    <mergeCell ref="Q22:R22"/>
    <mergeCell ref="C23:D23"/>
    <mergeCell ref="E23:F23"/>
    <mergeCell ref="G23:H23"/>
    <mergeCell ref="I23:J23"/>
    <mergeCell ref="Q23:R23"/>
    <mergeCell ref="C21:D21"/>
    <mergeCell ref="E21:F21"/>
    <mergeCell ref="G21:H21"/>
    <mergeCell ref="I21:J21"/>
    <mergeCell ref="Q21:R21"/>
    <mergeCell ref="C22:D22"/>
    <mergeCell ref="E22:F22"/>
    <mergeCell ref="G22:H22"/>
    <mergeCell ref="I22:J22"/>
    <mergeCell ref="M21:N21"/>
    <mergeCell ref="M22:N22"/>
    <mergeCell ref="I25:J25"/>
    <mergeCell ref="Q25:R25"/>
    <mergeCell ref="C26:D26"/>
    <mergeCell ref="E26:F26"/>
    <mergeCell ref="G26:H26"/>
    <mergeCell ref="I26:J26"/>
    <mergeCell ref="Q26:R26"/>
    <mergeCell ref="C27:D27"/>
    <mergeCell ref="E27:F27"/>
    <mergeCell ref="G27:H27"/>
    <mergeCell ref="I27:J27"/>
    <mergeCell ref="Q27:R27"/>
    <mergeCell ref="O23:O26"/>
    <mergeCell ref="C24:D24"/>
    <mergeCell ref="E24:F24"/>
    <mergeCell ref="G24:H24"/>
    <mergeCell ref="I24:J24"/>
    <mergeCell ref="Q24:R24"/>
    <mergeCell ref="C25:D25"/>
    <mergeCell ref="E25:F25"/>
    <mergeCell ref="G25:H25"/>
    <mergeCell ref="M23:N23"/>
    <mergeCell ref="M24:N24"/>
    <mergeCell ref="M25:N25"/>
    <mergeCell ref="C30:D30"/>
    <mergeCell ref="E30:F30"/>
    <mergeCell ref="G30:H30"/>
    <mergeCell ref="I30:J30"/>
    <mergeCell ref="Q30:R30"/>
    <mergeCell ref="C28:D28"/>
    <mergeCell ref="E28:F28"/>
    <mergeCell ref="G28:H28"/>
    <mergeCell ref="I28:J28"/>
    <mergeCell ref="Q28:R28"/>
    <mergeCell ref="C29:D29"/>
    <mergeCell ref="E29:F29"/>
    <mergeCell ref="G29:H29"/>
    <mergeCell ref="I29:J29"/>
    <mergeCell ref="M30:N30"/>
    <mergeCell ref="M26:N26"/>
    <mergeCell ref="M27:N27"/>
    <mergeCell ref="M28:N28"/>
    <mergeCell ref="M29:N29"/>
    <mergeCell ref="C33:D33"/>
    <mergeCell ref="E33:F33"/>
    <mergeCell ref="G33:H33"/>
    <mergeCell ref="I33:J33"/>
    <mergeCell ref="Q33:R33"/>
    <mergeCell ref="C31:D31"/>
    <mergeCell ref="E31:F31"/>
    <mergeCell ref="G31:H31"/>
    <mergeCell ref="I31:J31"/>
    <mergeCell ref="Q31:R31"/>
    <mergeCell ref="C32:D32"/>
    <mergeCell ref="E32:F32"/>
    <mergeCell ref="G32:H32"/>
    <mergeCell ref="I32:J32"/>
    <mergeCell ref="Q32:R32"/>
    <mergeCell ref="M31:N31"/>
    <mergeCell ref="M32:N32"/>
    <mergeCell ref="M33:N33"/>
    <mergeCell ref="O27:O32"/>
    <mergeCell ref="Q29:R29"/>
  </mergeCells>
  <conditionalFormatting sqref="C4:H4">
    <cfRule type="expression" dxfId="11" priority="4" stopIfTrue="1">
      <formula>DAY(C4)&gt;8</formula>
    </cfRule>
  </conditionalFormatting>
  <conditionalFormatting sqref="C4:I9">
    <cfRule type="expression" dxfId="10" priority="5">
      <formula>VLOOKUP(DAY(C4),AssignmentDays,1,FALSE)=DAY(C4)</formula>
    </cfRule>
  </conditionalFormatting>
  <conditionalFormatting sqref="C8:I10">
    <cfRule type="expression" dxfId="9" priority="3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D33BCE2854484790F7EDA7FC2AE552" ma:contentTypeVersion="21" ma:contentTypeDescription="Create a new document." ma:contentTypeScope="" ma:versionID="f0934a7fb5b612d5996a812f5eeb64d1">
  <xsd:schema xmlns:xsd="http://www.w3.org/2001/XMLSchema" xmlns:xs="http://www.w3.org/2001/XMLSchema" xmlns:p="http://schemas.microsoft.com/office/2006/metadata/properties" xmlns:ns2="6b567674-2ca8-4bd1-a539-e164fd748b33" xmlns:ns3="945a8377-6c92-4610-8cbe-bde37ed0ef20" xmlns:ns4="4f8c3d20-c00f-4e0e-9cb7-6a99f9dd0189" targetNamespace="http://schemas.microsoft.com/office/2006/metadata/properties" ma:root="true" ma:fieldsID="d0daea0a387505428f047bc06d45e468" ns2:_="" ns3:_="" ns4:_="">
    <xsd:import namespace="6b567674-2ca8-4bd1-a539-e164fd748b33"/>
    <xsd:import namespace="945a8377-6c92-4610-8cbe-bde37ed0ef20"/>
    <xsd:import namespace="4f8c3d20-c00f-4e0e-9cb7-6a99f9dd01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heckedby" minOccurs="0"/>
                <xsd:element ref="ns2:Checked" minOccurs="0"/>
                <xsd:element ref="ns2:ChangesMa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67674-2ca8-4bd1-a539-e164fd748b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heckedby" ma:index="21" nillable="true" ma:displayName="Checked by" ma:format="Dropdown" ma:list="UserInfo" ma:SharePointGroup="0" ma:internalName="Check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ed" ma:index="22" nillable="true" ma:displayName="Checked" ma:default="0" ma:format="Dropdown" ma:internalName="Checked">
      <xsd:simpleType>
        <xsd:restriction base="dms:Boolean"/>
      </xsd:simpleType>
    </xsd:element>
    <xsd:element name="ChangesMade" ma:index="23" nillable="true" ma:displayName="Changes Made" ma:default="1" ma:format="Dropdown" ma:internalName="ChangesMade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8c43db7-d5b9-4501-acd0-29785274d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a8377-6c92-4610-8cbe-bde37ed0ef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c3d20-c00f-4e0e-9cb7-6a99f9dd0189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4fd91d80-49b5-4fce-9f93-c5a8ed0a5c16}" ma:internalName="TaxCatchAll" ma:showField="CatchAllData" ma:web="4f8c3d20-c00f-4e0e-9cb7-6a99f9dd01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edby xmlns="6b567674-2ca8-4bd1-a539-e164fd748b33">
      <UserInfo>
        <DisplayName/>
        <AccountId xsi:nil="true"/>
        <AccountType/>
      </UserInfo>
    </Checkedby>
    <Checked xmlns="6b567674-2ca8-4bd1-a539-e164fd748b33">false</Checked>
    <ChangesMade xmlns="6b567674-2ca8-4bd1-a539-e164fd748b33">true</ChangesMade>
    <lcf76f155ced4ddcb4097134ff3c332f xmlns="6b567674-2ca8-4bd1-a539-e164fd748b33">
      <Terms xmlns="http://schemas.microsoft.com/office/infopath/2007/PartnerControls"/>
    </lcf76f155ced4ddcb4097134ff3c332f>
    <TaxCatchAll xmlns="4f8c3d20-c00f-4e0e-9cb7-6a99f9dd01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636F2F-29B5-48C8-BA43-8268F8B4D4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567674-2ca8-4bd1-a539-e164fd748b33"/>
    <ds:schemaRef ds:uri="945a8377-6c92-4610-8cbe-bde37ed0ef20"/>
    <ds:schemaRef ds:uri="4f8c3d20-c00f-4e0e-9cb7-6a99f9dd0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238AFC-61A3-4BE0-9711-E925CE7DBC21}">
  <ds:schemaRefs>
    <ds:schemaRef ds:uri="http://purl.org/dc/terms/"/>
    <ds:schemaRef ds:uri="http://www.w3.org/XML/1998/namespace"/>
    <ds:schemaRef ds:uri="http://schemas.microsoft.com/office/2006/documentManagement/types"/>
    <ds:schemaRef ds:uri="945a8377-6c92-4610-8cbe-bde37ed0ef20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b567674-2ca8-4bd1-a539-e164fd748b33"/>
    <ds:schemaRef ds:uri="4f8c3d20-c00f-4e0e-9cb7-6a99f9dd018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BAC75-0B10-430E-9EDA-AC8F2352AD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37</vt:i4>
      </vt:variant>
    </vt:vector>
  </HeadingPairs>
  <TitlesOfParts>
    <vt:vector size="4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April!AssignmentDays</vt:lpstr>
      <vt:lpstr>August!AssignmentDays</vt:lpstr>
      <vt:lpstr>December!AssignmentDays</vt:lpstr>
      <vt:lpstr>February!AssignmentDays</vt:lpstr>
      <vt:lpstr>July!AssignmentDays</vt:lpstr>
      <vt:lpstr>June!AssignmentDays</vt:lpstr>
      <vt:lpstr>March!AssignmentDays</vt:lpstr>
      <vt:lpstr>May!AssignmentDays</vt:lpstr>
      <vt:lpstr>November!AssignmentDays</vt:lpstr>
      <vt:lpstr>October!AssignmentDays</vt:lpstr>
      <vt:lpstr>September!AssignmentDays</vt:lpstr>
      <vt:lpstr>AssignmentDays</vt:lpstr>
      <vt:lpstr>CalendarYear</vt:lpstr>
      <vt:lpstr>April!ImportantDatesTable</vt:lpstr>
      <vt:lpstr>August!ImportantDatesTable</vt:lpstr>
      <vt:lpstr>December!ImportantDatesTable</vt:lpstr>
      <vt:lpstr>February!ImportantDatesTable</vt:lpstr>
      <vt:lpstr>July!ImportantDatesTable</vt:lpstr>
      <vt:lpstr>June!ImportantDatesTable</vt:lpstr>
      <vt:lpstr>March!ImportantDatesTable</vt:lpstr>
      <vt:lpstr>May!ImportantDatesTable</vt:lpstr>
      <vt:lpstr>November!ImportantDatesTable</vt:lpstr>
      <vt:lpstr>October!ImportantDatesTable</vt:lpstr>
      <vt:lpstr>September!ImportantDatesTable</vt:lpstr>
      <vt:lpstr>ImportantDatesTable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2018-01-09T10:46:28Z</dcterms:created>
  <dcterms:modified xsi:type="dcterms:W3CDTF">2025-01-08T23:00:15Z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TC025512749991</vt:lpwstr>
  </property>
  <property fmtid="{D5CDD505-2E9C-101B-9397-08002B2CF9AE}" pid="3" name="ContentTypeId">
    <vt:lpwstr>0x01010051D33BCE2854484790F7EDA7FC2AE552</vt:lpwstr>
  </property>
  <property fmtid="{D5CDD505-2E9C-101B-9397-08002B2CF9AE}" pid="4" name="MediaServiceImageTags">
    <vt:lpwstr/>
  </property>
</Properties>
</file>